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DieseArbeitsmappe" defaultThemeVersion="124226"/>
  <mc:AlternateContent xmlns:mc="http://schemas.openxmlformats.org/markup-compatibility/2006">
    <mc:Choice Requires="x15">
      <x15ac:absPath xmlns:x15ac="http://schemas.microsoft.com/office/spreadsheetml/2010/11/ac" url="C:\Users\snus1\Nextcloud\KGA\_KGA WEITERENTWICKLUNG\KGA 2026\Veröffentlichung VGV\"/>
    </mc:Choice>
  </mc:AlternateContent>
  <xr:revisionPtr revIDLastSave="0" documentId="13_ncr:1_{584BBA22-2B1B-48F7-9F59-DF5E33A8D874}" xr6:coauthVersionLast="47" xr6:coauthVersionMax="47" xr10:uidLastSave="{00000000-0000-0000-0000-000000000000}"/>
  <bookViews>
    <workbookView xWindow="-120" yWindow="-120" windowWidth="38640" windowHeight="21120" tabRatio="741" xr2:uid="{00000000-000D-0000-FFFF-FFFF00000000}"/>
  </bookViews>
  <sheets>
    <sheet name="Deckblatt" sheetId="20" r:id="rId1"/>
    <sheet name="Punktevergabe" sheetId="5" r:id="rId2"/>
    <sheet name="A.3" sheetId="7" r:id="rId3"/>
    <sheet name="A.4" sheetId="32" r:id="rId4"/>
    <sheet name="A.5" sheetId="21" r:id="rId5"/>
    <sheet name="Objektabelle" sheetId="22" state="hidden" r:id="rId6"/>
    <sheet name="Gemeindetabelle" sheetId="23" state="hidden" r:id="rId7"/>
    <sheet name="A.6" sheetId="37" r:id="rId8"/>
    <sheet name="A.7" sheetId="42" r:id="rId9"/>
    <sheet name="A.8" sheetId="43" r:id="rId10"/>
    <sheet name="B.1 " sheetId="16" r:id="rId11"/>
    <sheet name="B1 Graphik" sheetId="28" state="hidden" r:id="rId12"/>
    <sheet name="B.2" sheetId="17" r:id="rId13"/>
    <sheet name="B2 Graphik" sheetId="39" state="hidden" r:id="rId14"/>
    <sheet name="B.3" sheetId="24" r:id="rId15"/>
    <sheet name="C.1" sheetId="9" r:id="rId16"/>
    <sheet name="C.2" sheetId="10" r:id="rId17"/>
    <sheet name="D" sheetId="31" r:id="rId18"/>
  </sheets>
  <definedNames>
    <definedName name="_xlnm._FilterDatabase" localSheetId="6" hidden="1">Gemeindetabelle!$A$1:$B$111</definedName>
    <definedName name="Z_900BB99C_5F12_4578_9AB6_A71D1D7EE1B7_.wvu.PrintArea" localSheetId="1" hidden="1">Punktevergabe!$B$1:$G$42</definedName>
    <definedName name="Z_900BB99C_5F12_4578_9AB6_A71D1D7EE1B7_.wvu.PrintTitles" localSheetId="1" hidden="1">Punktevergabe!$1:$10</definedName>
    <definedName name="Z_900BB99C_5F12_4578_9AB6_A71D1D7EE1B7_.wvu.Rows" localSheetId="1" hidden="1">Punktevergabe!$8:$8</definedName>
  </definedNames>
  <calcPr calcId="191029"/>
  <customWorkbookViews>
    <customWorkbookView name="Martin Brunn - Persönliche Ansicht" guid="{900BB99C-5F12-4578-9AB6-A71D1D7EE1B7}" mergeInterval="0" personalView="1" maximized="1" windowWidth="1396" windowHeight="88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5" l="1"/>
  <c r="E22" i="32"/>
  <c r="L9" i="16"/>
  <c r="G9" i="16"/>
  <c r="P37" i="32"/>
  <c r="P36" i="32"/>
  <c r="P38" i="32" s="1"/>
  <c r="P39" i="32" s="1"/>
  <c r="P35" i="32"/>
  <c r="D135" i="39" l="1"/>
  <c r="F41" i="7"/>
  <c r="D137" i="39" l="1"/>
  <c r="D138" i="39"/>
  <c r="D136" i="39"/>
  <c r="B7" i="31"/>
  <c r="B15" i="31" l="1"/>
  <c r="B17" i="21" l="1"/>
  <c r="F28" i="21" l="1"/>
  <c r="D6" i="24"/>
  <c r="E9" i="37"/>
  <c r="E29" i="32" l="1"/>
  <c r="B29" i="5"/>
  <c r="B30" i="5"/>
  <c r="B31" i="5"/>
  <c r="B32" i="5"/>
  <c r="B28" i="5"/>
  <c r="B24" i="5"/>
  <c r="B25" i="5"/>
  <c r="B26" i="5"/>
  <c r="B23" i="5"/>
  <c r="B14" i="5"/>
  <c r="B15" i="5"/>
  <c r="B16" i="5"/>
  <c r="B17" i="5"/>
  <c r="B18" i="5"/>
  <c r="B19" i="5"/>
  <c r="B13" i="5"/>
  <c r="L46" i="7" l="1"/>
  <c r="F49" i="7" l="1"/>
  <c r="F13" i="7"/>
  <c r="F52" i="7" l="1"/>
  <c r="G14" i="5" s="1"/>
  <c r="G33" i="5"/>
  <c r="D103" i="28" l="1"/>
  <c r="D104" i="28"/>
  <c r="D105" i="28"/>
  <c r="D106" i="28"/>
  <c r="D107" i="28"/>
  <c r="D108" i="28"/>
  <c r="D109" i="28"/>
  <c r="D110" i="28"/>
  <c r="D111" i="28"/>
  <c r="D112" i="28"/>
  <c r="D113" i="28"/>
  <c r="D114" i="28"/>
  <c r="J135" i="39"/>
  <c r="J136" i="39"/>
  <c r="J137" i="39"/>
  <c r="J138" i="39"/>
  <c r="J139" i="39"/>
  <c r="J140" i="39"/>
  <c r="J141" i="39"/>
  <c r="J142" i="39"/>
  <c r="J143" i="39"/>
  <c r="J144" i="39"/>
  <c r="J145" i="39"/>
  <c r="J134" i="39"/>
  <c r="B6" i="31" l="1"/>
  <c r="B8" i="31" s="1"/>
  <c r="AA135" i="39" l="1"/>
  <c r="AA136" i="39"/>
  <c r="AA137" i="39"/>
  <c r="AA138" i="39"/>
  <c r="AA139" i="39"/>
  <c r="AA140" i="39"/>
  <c r="AA141" i="39"/>
  <c r="AA142" i="39"/>
  <c r="AA143" i="39"/>
  <c r="AA144" i="39"/>
  <c r="AA145" i="39"/>
  <c r="G41" i="5" l="1"/>
  <c r="D14" i="10"/>
  <c r="G37" i="5" s="1"/>
  <c r="C11" i="9"/>
  <c r="G36" i="5" s="1"/>
  <c r="D29" i="21"/>
  <c r="B23" i="21"/>
  <c r="B24" i="21"/>
  <c r="G17" i="5"/>
  <c r="B15" i="43"/>
  <c r="G35" i="5" l="1"/>
  <c r="G15" i="5"/>
  <c r="G40" i="5"/>
  <c r="G39" i="5" s="1"/>
  <c r="T1" i="5" l="1"/>
  <c r="O1" i="5"/>
  <c r="G5" i="17" l="1"/>
  <c r="F27" i="21" l="1"/>
  <c r="G27" i="21" s="1"/>
  <c r="G9" i="17" l="1"/>
  <c r="N13" i="21"/>
  <c r="O13" i="21"/>
  <c r="P13" i="21"/>
  <c r="Q13" i="21"/>
  <c r="R13" i="21"/>
  <c r="S13" i="21"/>
  <c r="X76" i="28" l="1"/>
  <c r="R76" i="28"/>
  <c r="J76" i="28"/>
  <c r="G76" i="28"/>
  <c r="D6" i="43" l="1"/>
  <c r="G19" i="5" s="1"/>
  <c r="L5" i="9"/>
  <c r="L6" i="9" s="1"/>
  <c r="D8" i="9"/>
  <c r="D7" i="9"/>
  <c r="D6" i="9"/>
  <c r="D5" i="9"/>
  <c r="G28" i="21" l="1"/>
  <c r="AD195" i="39" l="1"/>
  <c r="AD196" i="39"/>
  <c r="AD197" i="39"/>
  <c r="AD198" i="39"/>
  <c r="AD199" i="39"/>
  <c r="AD200" i="39"/>
  <c r="AD201" i="39"/>
  <c r="AD202" i="39"/>
  <c r="AD203" i="39"/>
  <c r="AD204" i="39"/>
  <c r="AD205" i="39"/>
  <c r="AD206" i="39"/>
  <c r="AD207" i="39"/>
  <c r="AD208" i="39"/>
  <c r="AD209" i="39"/>
  <c r="AD210" i="39"/>
  <c r="AD211" i="39"/>
  <c r="AD212" i="39"/>
  <c r="AD213" i="39"/>
  <c r="AD214" i="39"/>
  <c r="AD215" i="39"/>
  <c r="AD216" i="39"/>
  <c r="AD217" i="39"/>
  <c r="AD218" i="39"/>
  <c r="AD219" i="39"/>
  <c r="AD220" i="39"/>
  <c r="AD221" i="39"/>
  <c r="AD222" i="39"/>
  <c r="AD223" i="39"/>
  <c r="AD224" i="39"/>
  <c r="AD225" i="39"/>
  <c r="AD226" i="39"/>
  <c r="AD227" i="39"/>
  <c r="AD228" i="39"/>
  <c r="AD229" i="39"/>
  <c r="AD230" i="39"/>
  <c r="AD231" i="39"/>
  <c r="AD232" i="39"/>
  <c r="AD233" i="39"/>
  <c r="AD234" i="39"/>
  <c r="AD235" i="39"/>
  <c r="AD236" i="39"/>
  <c r="AD237" i="39"/>
  <c r="AD238" i="39"/>
  <c r="AD239" i="39"/>
  <c r="AD240" i="39"/>
  <c r="AD241" i="39"/>
  <c r="AD242" i="39"/>
  <c r="AD243" i="39"/>
  <c r="AD244" i="39"/>
  <c r="M195" i="39"/>
  <c r="M196" i="39"/>
  <c r="M197" i="39"/>
  <c r="M198" i="39"/>
  <c r="M199" i="39"/>
  <c r="M200" i="39"/>
  <c r="M201" i="39"/>
  <c r="M202" i="39"/>
  <c r="M203" i="39"/>
  <c r="M204" i="39"/>
  <c r="M205" i="39"/>
  <c r="M206" i="39"/>
  <c r="M207" i="39"/>
  <c r="M208" i="39"/>
  <c r="M209" i="39"/>
  <c r="M210" i="39"/>
  <c r="M211" i="39"/>
  <c r="M212" i="39"/>
  <c r="M213" i="39"/>
  <c r="M214" i="39"/>
  <c r="M215" i="39"/>
  <c r="M216" i="39"/>
  <c r="M217" i="39"/>
  <c r="M218" i="39"/>
  <c r="M219" i="39"/>
  <c r="M220" i="39"/>
  <c r="M221" i="39"/>
  <c r="M222" i="39"/>
  <c r="M223" i="39"/>
  <c r="M224" i="39"/>
  <c r="M225" i="39"/>
  <c r="M226" i="39"/>
  <c r="M227" i="39"/>
  <c r="M228" i="39"/>
  <c r="M229" i="39"/>
  <c r="M230" i="39"/>
  <c r="M231" i="39"/>
  <c r="M232" i="39"/>
  <c r="M233" i="39"/>
  <c r="M234" i="39"/>
  <c r="M235" i="39"/>
  <c r="M236" i="39"/>
  <c r="M237" i="39"/>
  <c r="M238" i="39"/>
  <c r="M239" i="39"/>
  <c r="M240" i="39"/>
  <c r="M241" i="39"/>
  <c r="M242" i="39"/>
  <c r="M243" i="39"/>
  <c r="M244" i="39"/>
  <c r="AD194" i="39"/>
  <c r="AD135" i="39"/>
  <c r="AD136" i="39"/>
  <c r="AD137" i="39"/>
  <c r="AD138" i="39"/>
  <c r="AD139" i="39"/>
  <c r="AD140" i="39"/>
  <c r="AD141" i="39"/>
  <c r="AD142" i="39"/>
  <c r="AD143" i="39"/>
  <c r="AD144" i="39"/>
  <c r="AD145" i="39"/>
  <c r="AD146" i="39"/>
  <c r="AD147" i="39"/>
  <c r="AD148" i="39"/>
  <c r="AD149" i="39"/>
  <c r="AD150" i="39"/>
  <c r="AD151" i="39"/>
  <c r="AD152" i="39"/>
  <c r="AD153" i="39"/>
  <c r="AD154" i="39"/>
  <c r="AD155" i="39"/>
  <c r="AD156" i="39"/>
  <c r="AD157" i="39"/>
  <c r="AD158" i="39"/>
  <c r="AD159" i="39"/>
  <c r="AD160" i="39"/>
  <c r="AD161" i="39"/>
  <c r="AD162" i="39"/>
  <c r="AD163" i="39"/>
  <c r="AD164" i="39"/>
  <c r="AD165" i="39"/>
  <c r="AD166" i="39"/>
  <c r="AD167" i="39"/>
  <c r="AD168" i="39"/>
  <c r="AD169" i="39"/>
  <c r="AD170" i="39"/>
  <c r="AD171" i="39"/>
  <c r="AD172" i="39"/>
  <c r="AD173" i="39"/>
  <c r="AD174" i="39"/>
  <c r="AD175" i="39"/>
  <c r="AD176" i="39"/>
  <c r="AD177" i="39"/>
  <c r="AD178" i="39"/>
  <c r="AD179" i="39"/>
  <c r="AD180" i="39"/>
  <c r="AD181" i="39"/>
  <c r="AD182" i="39"/>
  <c r="AD183" i="39"/>
  <c r="AD184" i="39"/>
  <c r="AD185" i="39"/>
  <c r="AD186" i="39"/>
  <c r="AD187" i="39"/>
  <c r="AD188" i="39"/>
  <c r="AD189" i="39"/>
  <c r="AD190" i="39"/>
  <c r="AD191" i="39"/>
  <c r="AD192" i="39"/>
  <c r="AD193" i="39"/>
  <c r="M135" i="39"/>
  <c r="M136" i="39"/>
  <c r="M137" i="39"/>
  <c r="M138" i="39"/>
  <c r="M139" i="39"/>
  <c r="M140" i="39"/>
  <c r="M141" i="39"/>
  <c r="M142" i="39"/>
  <c r="M143" i="39"/>
  <c r="M144" i="39"/>
  <c r="M145" i="39"/>
  <c r="M146" i="39"/>
  <c r="M147" i="39"/>
  <c r="M148" i="39"/>
  <c r="M149" i="39"/>
  <c r="M150" i="39"/>
  <c r="M151" i="39"/>
  <c r="M152" i="39"/>
  <c r="M153" i="39"/>
  <c r="M154" i="39"/>
  <c r="M155" i="39"/>
  <c r="M156" i="39"/>
  <c r="M157" i="39"/>
  <c r="M158" i="39"/>
  <c r="M159" i="39"/>
  <c r="M160" i="39"/>
  <c r="M161" i="39"/>
  <c r="M162" i="39"/>
  <c r="M163" i="39"/>
  <c r="M164" i="39"/>
  <c r="M165" i="39"/>
  <c r="M166" i="39"/>
  <c r="M167" i="39"/>
  <c r="M168" i="39"/>
  <c r="M169" i="39"/>
  <c r="M170" i="39"/>
  <c r="M171" i="39"/>
  <c r="M172" i="39"/>
  <c r="M173" i="39"/>
  <c r="M174" i="39"/>
  <c r="M175" i="39"/>
  <c r="M176" i="39"/>
  <c r="M177" i="39"/>
  <c r="M178" i="39"/>
  <c r="M179" i="39"/>
  <c r="M180" i="39"/>
  <c r="M181" i="39"/>
  <c r="M182" i="39"/>
  <c r="M183" i="39"/>
  <c r="M184" i="39"/>
  <c r="M185" i="39"/>
  <c r="M186" i="39"/>
  <c r="M187" i="39"/>
  <c r="M188" i="39"/>
  <c r="M189" i="39"/>
  <c r="M190" i="39"/>
  <c r="M191" i="39"/>
  <c r="M192" i="39"/>
  <c r="M193" i="39"/>
  <c r="M194" i="39"/>
  <c r="U145" i="39"/>
  <c r="U146" i="39"/>
  <c r="U147" i="39"/>
  <c r="U148" i="39"/>
  <c r="U149" i="39"/>
  <c r="U150" i="39"/>
  <c r="U151" i="39"/>
  <c r="U152" i="39"/>
  <c r="U153" i="39"/>
  <c r="U154" i="39"/>
  <c r="U155" i="39"/>
  <c r="U156" i="39"/>
  <c r="U157" i="39"/>
  <c r="U158" i="39"/>
  <c r="U159" i="39"/>
  <c r="U160" i="39"/>
  <c r="U161" i="39"/>
  <c r="U162" i="39"/>
  <c r="U163" i="39"/>
  <c r="U164" i="39"/>
  <c r="U165" i="39"/>
  <c r="U166" i="39"/>
  <c r="U167" i="39"/>
  <c r="D145" i="39"/>
  <c r="D146" i="39"/>
  <c r="D147" i="39"/>
  <c r="D148" i="39"/>
  <c r="D149" i="39"/>
  <c r="D150" i="39"/>
  <c r="D151" i="39"/>
  <c r="D152" i="39"/>
  <c r="D153" i="39"/>
  <c r="D154" i="39"/>
  <c r="D155" i="39"/>
  <c r="D156" i="39"/>
  <c r="D157" i="39"/>
  <c r="D158" i="39"/>
  <c r="D159" i="39"/>
  <c r="D160" i="39"/>
  <c r="D161" i="39"/>
  <c r="D162" i="39"/>
  <c r="D163" i="39"/>
  <c r="D164" i="39"/>
  <c r="D165" i="39"/>
  <c r="D166" i="39"/>
  <c r="D167" i="39"/>
  <c r="D168" i="39"/>
  <c r="D169" i="39"/>
  <c r="D170" i="39"/>
  <c r="D171" i="39"/>
  <c r="AG115" i="39" l="1"/>
  <c r="AG116" i="39"/>
  <c r="AG117" i="39"/>
  <c r="AG118" i="39"/>
  <c r="AG119" i="39"/>
  <c r="AG120" i="39"/>
  <c r="AG121" i="39"/>
  <c r="AG122" i="39"/>
  <c r="AG123" i="39"/>
  <c r="AG124" i="39"/>
  <c r="P115" i="39"/>
  <c r="P116" i="39"/>
  <c r="P117" i="39"/>
  <c r="P118" i="39"/>
  <c r="P119" i="39"/>
  <c r="P120" i="39"/>
  <c r="P121" i="39"/>
  <c r="P122" i="39"/>
  <c r="P123" i="39"/>
  <c r="P124" i="39"/>
  <c r="J125" i="39" l="1"/>
  <c r="J126" i="39"/>
  <c r="J127" i="39"/>
  <c r="J128" i="39"/>
  <c r="J129" i="39"/>
  <c r="J130" i="39"/>
  <c r="J131" i="39"/>
  <c r="J132" i="39"/>
  <c r="J133" i="39"/>
  <c r="AA125" i="39"/>
  <c r="AA126" i="39"/>
  <c r="AA127" i="39"/>
  <c r="AA128" i="39"/>
  <c r="AA129" i="39"/>
  <c r="AA130" i="39"/>
  <c r="AA131" i="39"/>
  <c r="AA132" i="39"/>
  <c r="AA133" i="39"/>
  <c r="AA134" i="39"/>
  <c r="D121" i="39"/>
  <c r="D122" i="39"/>
  <c r="D123" i="39"/>
  <c r="D124" i="39"/>
  <c r="D125" i="39"/>
  <c r="D126" i="39"/>
  <c r="D127" i="39"/>
  <c r="D128" i="39"/>
  <c r="D129" i="39"/>
  <c r="D130" i="39"/>
  <c r="D131" i="39"/>
  <c r="D132" i="39"/>
  <c r="D133" i="39"/>
  <c r="D134" i="39"/>
  <c r="D139" i="39"/>
  <c r="D140" i="39"/>
  <c r="D141" i="39"/>
  <c r="D142" i="39"/>
  <c r="D143" i="39"/>
  <c r="D144" i="39"/>
  <c r="G13" i="17" l="1"/>
  <c r="G12" i="17"/>
  <c r="G17" i="17"/>
  <c r="L16" i="17"/>
  <c r="G15" i="17"/>
  <c r="AG95" i="39" l="1"/>
  <c r="AG96" i="39"/>
  <c r="AG97" i="39"/>
  <c r="AG98" i="39"/>
  <c r="AG99" i="39"/>
  <c r="AG100" i="39"/>
  <c r="AG101" i="39"/>
  <c r="AG102" i="39"/>
  <c r="AG103" i="39"/>
  <c r="AG104" i="39"/>
  <c r="AG105" i="39"/>
  <c r="AG106" i="39"/>
  <c r="AG107" i="39"/>
  <c r="AG108" i="39"/>
  <c r="AG109" i="39"/>
  <c r="AG110" i="39"/>
  <c r="AG111" i="39"/>
  <c r="AG112" i="39"/>
  <c r="AG113" i="39"/>
  <c r="AG114" i="39"/>
  <c r="AG94" i="39"/>
  <c r="P95" i="39"/>
  <c r="P96" i="39"/>
  <c r="P97" i="39"/>
  <c r="P98" i="39"/>
  <c r="P99" i="39"/>
  <c r="P100" i="39"/>
  <c r="P101" i="39"/>
  <c r="P102" i="39"/>
  <c r="P103" i="39"/>
  <c r="P104" i="39"/>
  <c r="P105" i="39"/>
  <c r="P106" i="39"/>
  <c r="P107" i="39"/>
  <c r="P108" i="39"/>
  <c r="P109" i="39"/>
  <c r="P110" i="39"/>
  <c r="P111" i="39"/>
  <c r="P112" i="39"/>
  <c r="P113" i="39"/>
  <c r="P114" i="39"/>
  <c r="P94" i="39"/>
  <c r="AD95" i="39"/>
  <c r="AD96" i="39"/>
  <c r="AD97" i="39"/>
  <c r="AD98" i="39"/>
  <c r="AD99" i="39"/>
  <c r="AD100" i="39"/>
  <c r="AD101" i="39"/>
  <c r="AD102" i="39"/>
  <c r="AD103" i="39"/>
  <c r="AD104" i="39"/>
  <c r="AD105" i="39"/>
  <c r="AD106" i="39"/>
  <c r="AD107" i="39"/>
  <c r="AD108" i="39"/>
  <c r="AD109" i="39"/>
  <c r="AD110" i="39"/>
  <c r="AD111" i="39"/>
  <c r="AD112" i="39"/>
  <c r="AD113" i="39"/>
  <c r="AD114" i="39"/>
  <c r="AD115" i="39"/>
  <c r="AD116" i="39"/>
  <c r="AD117" i="39"/>
  <c r="AD118" i="39"/>
  <c r="AD119" i="39"/>
  <c r="AD120" i="39"/>
  <c r="AD121" i="39"/>
  <c r="AD122" i="39"/>
  <c r="AD123" i="39"/>
  <c r="AD124" i="39"/>
  <c r="AD125" i="39"/>
  <c r="AD126" i="39"/>
  <c r="AD127" i="39"/>
  <c r="AD128" i="39"/>
  <c r="AD129" i="39"/>
  <c r="AD130" i="39"/>
  <c r="AD131" i="39"/>
  <c r="AD132" i="39"/>
  <c r="AD133" i="39"/>
  <c r="AD134" i="39"/>
  <c r="M95" i="39"/>
  <c r="M96" i="39"/>
  <c r="M97" i="39"/>
  <c r="M98" i="39"/>
  <c r="M99" i="39"/>
  <c r="M100" i="39"/>
  <c r="M101" i="39"/>
  <c r="M102" i="39"/>
  <c r="M103" i="39"/>
  <c r="M104" i="39"/>
  <c r="M105" i="39"/>
  <c r="M106" i="39"/>
  <c r="M107" i="39"/>
  <c r="M108" i="39"/>
  <c r="M109" i="39"/>
  <c r="M110" i="39"/>
  <c r="M111" i="39"/>
  <c r="M112" i="39"/>
  <c r="M113" i="39"/>
  <c r="M114" i="39"/>
  <c r="M115" i="39"/>
  <c r="M116" i="39"/>
  <c r="M117" i="39"/>
  <c r="M118" i="39"/>
  <c r="M119" i="39"/>
  <c r="M120" i="39"/>
  <c r="M121" i="39"/>
  <c r="M122" i="39"/>
  <c r="M123" i="39"/>
  <c r="M124" i="39"/>
  <c r="M125" i="39"/>
  <c r="M126" i="39"/>
  <c r="M127" i="39"/>
  <c r="M128" i="39"/>
  <c r="M129" i="39"/>
  <c r="M130" i="39"/>
  <c r="M131" i="39"/>
  <c r="M132" i="39"/>
  <c r="M133" i="39"/>
  <c r="M134" i="39"/>
  <c r="AD94" i="39"/>
  <c r="M94" i="39"/>
  <c r="AA119" i="39"/>
  <c r="AA120" i="39"/>
  <c r="AA121" i="39"/>
  <c r="AA122" i="39"/>
  <c r="AA123" i="39"/>
  <c r="AA124" i="39"/>
  <c r="J119" i="39"/>
  <c r="J120" i="39"/>
  <c r="J121" i="39"/>
  <c r="J122" i="39"/>
  <c r="J123" i="39"/>
  <c r="J124" i="39"/>
  <c r="AA95" i="39"/>
  <c r="AA96" i="39"/>
  <c r="AA97" i="39"/>
  <c r="AA98" i="39"/>
  <c r="AA99" i="39"/>
  <c r="AA100" i="39"/>
  <c r="AA101" i="39"/>
  <c r="AA102" i="39"/>
  <c r="AA103" i="39"/>
  <c r="AA104" i="39"/>
  <c r="AA105" i="39"/>
  <c r="AA106" i="39"/>
  <c r="AA107" i="39"/>
  <c r="AA108" i="39"/>
  <c r="AA109" i="39"/>
  <c r="AA110" i="39"/>
  <c r="AA111" i="39"/>
  <c r="AA112" i="39"/>
  <c r="AA113" i="39"/>
  <c r="AA114" i="39"/>
  <c r="AA115" i="39"/>
  <c r="AA116" i="39"/>
  <c r="AA117" i="39"/>
  <c r="AA118" i="39"/>
  <c r="J95" i="39"/>
  <c r="J96" i="39"/>
  <c r="J97" i="39"/>
  <c r="J98" i="39"/>
  <c r="J99" i="39"/>
  <c r="J100" i="39"/>
  <c r="J101" i="39"/>
  <c r="J102" i="39"/>
  <c r="J103" i="39"/>
  <c r="J104" i="39"/>
  <c r="J105" i="39"/>
  <c r="J106" i="39"/>
  <c r="J107" i="39"/>
  <c r="J108" i="39"/>
  <c r="J109" i="39"/>
  <c r="J110" i="39"/>
  <c r="J111" i="39"/>
  <c r="J112" i="39"/>
  <c r="J113" i="39"/>
  <c r="J114" i="39"/>
  <c r="J115" i="39"/>
  <c r="J116" i="39"/>
  <c r="J117" i="39"/>
  <c r="J118" i="39"/>
  <c r="AA94" i="39"/>
  <c r="J94" i="39"/>
  <c r="G121" i="39"/>
  <c r="G122" i="39"/>
  <c r="G123" i="39"/>
  <c r="G124" i="39"/>
  <c r="G125" i="39"/>
  <c r="G126" i="39"/>
  <c r="G127" i="39"/>
  <c r="G128" i="39"/>
  <c r="G129" i="39"/>
  <c r="X121" i="39"/>
  <c r="X122" i="39"/>
  <c r="X123" i="39"/>
  <c r="X124" i="39"/>
  <c r="X125" i="39"/>
  <c r="X126" i="39"/>
  <c r="X127" i="39"/>
  <c r="X128" i="39"/>
  <c r="X129" i="39"/>
  <c r="X95" i="39"/>
  <c r="X96" i="39"/>
  <c r="X97" i="39"/>
  <c r="X98" i="39"/>
  <c r="X99" i="39"/>
  <c r="X100" i="39"/>
  <c r="X101" i="39"/>
  <c r="X102" i="39"/>
  <c r="X103" i="39"/>
  <c r="X104" i="39"/>
  <c r="X105" i="39"/>
  <c r="X106" i="39"/>
  <c r="X107" i="39"/>
  <c r="X108" i="39"/>
  <c r="X109" i="39"/>
  <c r="X110" i="39"/>
  <c r="X111" i="39"/>
  <c r="X112" i="39"/>
  <c r="X113" i="39"/>
  <c r="X114" i="39"/>
  <c r="X115" i="39"/>
  <c r="X116" i="39"/>
  <c r="X117" i="39"/>
  <c r="X118" i="39"/>
  <c r="X119" i="39"/>
  <c r="X120" i="39"/>
  <c r="X94" i="39"/>
  <c r="G95" i="39"/>
  <c r="G96" i="39"/>
  <c r="G97" i="39"/>
  <c r="G98" i="39"/>
  <c r="G99" i="39"/>
  <c r="G100" i="39"/>
  <c r="G101" i="39"/>
  <c r="G102" i="39"/>
  <c r="G103" i="39"/>
  <c r="G104" i="39"/>
  <c r="G105" i="39"/>
  <c r="G106" i="39"/>
  <c r="G107" i="39"/>
  <c r="G108" i="39"/>
  <c r="G109" i="39"/>
  <c r="G110" i="39"/>
  <c r="G111" i="39"/>
  <c r="G112" i="39"/>
  <c r="G113" i="39"/>
  <c r="G114" i="39"/>
  <c r="G115" i="39"/>
  <c r="G116" i="39"/>
  <c r="G117" i="39"/>
  <c r="G118" i="39"/>
  <c r="G119" i="39"/>
  <c r="G120" i="39"/>
  <c r="G94" i="39"/>
  <c r="U95" i="39"/>
  <c r="U96" i="39"/>
  <c r="U97" i="39"/>
  <c r="U98" i="39"/>
  <c r="U99" i="39"/>
  <c r="U100" i="39"/>
  <c r="U101" i="39"/>
  <c r="U102" i="39"/>
  <c r="U103" i="39"/>
  <c r="U104" i="39"/>
  <c r="U105" i="39"/>
  <c r="U106" i="39"/>
  <c r="U107" i="39"/>
  <c r="U108" i="39"/>
  <c r="U109" i="39"/>
  <c r="U110" i="39"/>
  <c r="U111" i="39"/>
  <c r="U112" i="39"/>
  <c r="U113" i="39"/>
  <c r="U114" i="39"/>
  <c r="U115" i="39"/>
  <c r="U116" i="39"/>
  <c r="U117" i="39"/>
  <c r="U118" i="39"/>
  <c r="U119" i="39"/>
  <c r="U120" i="39"/>
  <c r="U121" i="39"/>
  <c r="U122" i="39"/>
  <c r="U123" i="39"/>
  <c r="U124" i="39"/>
  <c r="U125" i="39"/>
  <c r="U126" i="39"/>
  <c r="U127" i="39"/>
  <c r="U128" i="39"/>
  <c r="U129" i="39"/>
  <c r="U130" i="39"/>
  <c r="U131" i="39"/>
  <c r="U132" i="39"/>
  <c r="U133" i="39"/>
  <c r="U134" i="39"/>
  <c r="U135" i="39"/>
  <c r="U136" i="39"/>
  <c r="U137" i="39"/>
  <c r="U138" i="39"/>
  <c r="U139" i="39"/>
  <c r="U140" i="39"/>
  <c r="U141" i="39"/>
  <c r="U142" i="39"/>
  <c r="U143" i="39"/>
  <c r="U144" i="39"/>
  <c r="U94" i="39"/>
  <c r="D95" i="39"/>
  <c r="D96" i="39"/>
  <c r="D97" i="39"/>
  <c r="D98" i="39"/>
  <c r="D99" i="39"/>
  <c r="D100" i="39"/>
  <c r="D101" i="39"/>
  <c r="D102" i="39"/>
  <c r="D103" i="39"/>
  <c r="D104" i="39"/>
  <c r="D105" i="39"/>
  <c r="D106" i="39"/>
  <c r="D107" i="39"/>
  <c r="D108" i="39"/>
  <c r="D109" i="39"/>
  <c r="D110" i="39"/>
  <c r="D111" i="39"/>
  <c r="D112" i="39"/>
  <c r="D113" i="39"/>
  <c r="D114" i="39"/>
  <c r="D115" i="39"/>
  <c r="D116" i="39"/>
  <c r="D117" i="39"/>
  <c r="D118" i="39"/>
  <c r="D119" i="39"/>
  <c r="D120" i="39"/>
  <c r="D94" i="39"/>
  <c r="AA105" i="28" l="1"/>
  <c r="AA106" i="28"/>
  <c r="AA107" i="28"/>
  <c r="AA108" i="28"/>
  <c r="AA109" i="28"/>
  <c r="AA110" i="28"/>
  <c r="AA111" i="28"/>
  <c r="AA112" i="28"/>
  <c r="AA113" i="28"/>
  <c r="AA114" i="28"/>
  <c r="AA115" i="28"/>
  <c r="AA116" i="28"/>
  <c r="AA117" i="28"/>
  <c r="AA118" i="28"/>
  <c r="AA119" i="28"/>
  <c r="AA120" i="28"/>
  <c r="AA121" i="28"/>
  <c r="AA122" i="28"/>
  <c r="AA123" i="28"/>
  <c r="AA124" i="28"/>
  <c r="AA125" i="28"/>
  <c r="AA126" i="28"/>
  <c r="AA127" i="28"/>
  <c r="AA128" i="28"/>
  <c r="AA129" i="28"/>
  <c r="AA130" i="28"/>
  <c r="AA131" i="28"/>
  <c r="AA132" i="28"/>
  <c r="AA133" i="28"/>
  <c r="AA134" i="28"/>
  <c r="AA135" i="28"/>
  <c r="AA136" i="28"/>
  <c r="AA137" i="28"/>
  <c r="AA138" i="28"/>
  <c r="AA139" i="28"/>
  <c r="AA140" i="28"/>
  <c r="AA141" i="28"/>
  <c r="AA142" i="28"/>
  <c r="AA143" i="28"/>
  <c r="AA144" i="28"/>
  <c r="AA145" i="28"/>
  <c r="AA146" i="28"/>
  <c r="AA147" i="28"/>
  <c r="AA148" i="28"/>
  <c r="AA149" i="28"/>
  <c r="AA150" i="28"/>
  <c r="AA151" i="28"/>
  <c r="AA152" i="28"/>
  <c r="AA153" i="28"/>
  <c r="AA154" i="28"/>
  <c r="AA155" i="28"/>
  <c r="AA156" i="28"/>
  <c r="AA157" i="28"/>
  <c r="AA158" i="28"/>
  <c r="AA159" i="28"/>
  <c r="AA160" i="28"/>
  <c r="AA161" i="28"/>
  <c r="AA162" i="28"/>
  <c r="AA163" i="28"/>
  <c r="AA164" i="28"/>
  <c r="AA165" i="28"/>
  <c r="AA166" i="28"/>
  <c r="AA167" i="28"/>
  <c r="AA168" i="28"/>
  <c r="AA169" i="28"/>
  <c r="AA170" i="28"/>
  <c r="AA171" i="28"/>
  <c r="AA172" i="28"/>
  <c r="AA173" i="28"/>
  <c r="AA174" i="28"/>
  <c r="AA175" i="28"/>
  <c r="AA176" i="28"/>
  <c r="M158" i="28"/>
  <c r="M159" i="28"/>
  <c r="M160" i="28"/>
  <c r="M161" i="28"/>
  <c r="M162" i="28"/>
  <c r="M163" i="28"/>
  <c r="M164" i="28"/>
  <c r="M165" i="28"/>
  <c r="M166" i="28"/>
  <c r="M167" i="28"/>
  <c r="M168" i="28"/>
  <c r="M169" i="28"/>
  <c r="M170" i="28"/>
  <c r="M171" i="28"/>
  <c r="M172" i="28"/>
  <c r="M173" i="28"/>
  <c r="M174" i="28"/>
  <c r="M175" i="28"/>
  <c r="M176" i="28"/>
  <c r="M138" i="28"/>
  <c r="M139" i="28"/>
  <c r="M140" i="28"/>
  <c r="M141" i="28"/>
  <c r="M142" i="28"/>
  <c r="M143" i="28"/>
  <c r="M144" i="28"/>
  <c r="M145" i="28"/>
  <c r="M146" i="28"/>
  <c r="M147" i="28"/>
  <c r="M148" i="28"/>
  <c r="M149" i="28"/>
  <c r="M150" i="28"/>
  <c r="M151" i="28"/>
  <c r="M152" i="28"/>
  <c r="M153" i="28"/>
  <c r="M154" i="28"/>
  <c r="M155" i="28"/>
  <c r="M156" i="28"/>
  <c r="M157" i="28"/>
  <c r="M105" i="28"/>
  <c r="M106" i="28"/>
  <c r="M107" i="28"/>
  <c r="M108" i="28"/>
  <c r="M109" i="28"/>
  <c r="M110" i="28"/>
  <c r="M111" i="28"/>
  <c r="M112" i="28"/>
  <c r="M113" i="28"/>
  <c r="M114" i="28"/>
  <c r="M115" i="28"/>
  <c r="M116" i="28"/>
  <c r="M117" i="28"/>
  <c r="M118" i="28"/>
  <c r="M119" i="28"/>
  <c r="M120" i="28"/>
  <c r="M121" i="28"/>
  <c r="M122" i="28"/>
  <c r="M123" i="28"/>
  <c r="M124" i="28"/>
  <c r="M125" i="28"/>
  <c r="M126" i="28"/>
  <c r="M127" i="28"/>
  <c r="M128" i="28"/>
  <c r="M129" i="28"/>
  <c r="M130" i="28"/>
  <c r="M131" i="28"/>
  <c r="M132" i="28"/>
  <c r="M133" i="28"/>
  <c r="M134" i="28"/>
  <c r="M135" i="28"/>
  <c r="M136" i="28"/>
  <c r="M137" i="28"/>
  <c r="X117" i="28"/>
  <c r="X118" i="28"/>
  <c r="J117" i="28"/>
  <c r="J118" i="28"/>
  <c r="R103" i="28"/>
  <c r="R104" i="28"/>
  <c r="R105" i="28"/>
  <c r="R106" i="28"/>
  <c r="R107" i="28"/>
  <c r="R108" i="28"/>
  <c r="R109" i="28"/>
  <c r="R110" i="28"/>
  <c r="R111" i="28"/>
  <c r="R112" i="28"/>
  <c r="R113" i="28"/>
  <c r="R114" i="28"/>
  <c r="R115" i="28"/>
  <c r="R116" i="28"/>
  <c r="R117" i="28"/>
  <c r="R118" i="28"/>
  <c r="R119" i="28"/>
  <c r="R120" i="28"/>
  <c r="R121" i="28"/>
  <c r="R122" i="28"/>
  <c r="R123" i="28"/>
  <c r="R124" i="28"/>
  <c r="R125" i="28"/>
  <c r="R126" i="28"/>
  <c r="R127" i="28"/>
  <c r="R128" i="28"/>
  <c r="R129" i="28"/>
  <c r="R130" i="28"/>
  <c r="R131" i="28"/>
  <c r="R132" i="28"/>
  <c r="R133" i="28"/>
  <c r="R134" i="28"/>
  <c r="R135" i="28"/>
  <c r="R136" i="28"/>
  <c r="R137" i="28"/>
  <c r="R138" i="28"/>
  <c r="R139" i="28"/>
  <c r="R140" i="28"/>
  <c r="R141" i="28"/>
  <c r="AA77" i="28"/>
  <c r="AA78" i="28"/>
  <c r="AA79" i="28"/>
  <c r="AA80" i="28"/>
  <c r="AA81" i="28"/>
  <c r="AA82" i="28"/>
  <c r="AA83" i="28"/>
  <c r="AA84" i="28"/>
  <c r="AA85" i="28"/>
  <c r="AA86" i="28"/>
  <c r="AA87" i="28"/>
  <c r="AA88" i="28"/>
  <c r="AA89" i="28"/>
  <c r="AA90" i="28"/>
  <c r="AA91" i="28"/>
  <c r="AA92" i="28"/>
  <c r="AA93" i="28"/>
  <c r="AA94" i="28"/>
  <c r="AA95" i="28"/>
  <c r="AA96" i="28"/>
  <c r="AA97" i="28"/>
  <c r="AA98" i="28"/>
  <c r="AA99" i="28"/>
  <c r="AA100" i="28"/>
  <c r="AA101" i="28"/>
  <c r="AA102" i="28"/>
  <c r="AA103" i="28"/>
  <c r="AA104" i="28"/>
  <c r="AA76" i="28"/>
  <c r="X77" i="28"/>
  <c r="X78" i="28"/>
  <c r="X79" i="28"/>
  <c r="X80" i="28"/>
  <c r="X81" i="28"/>
  <c r="X82" i="28"/>
  <c r="X83" i="28"/>
  <c r="X84" i="28"/>
  <c r="X85" i="28"/>
  <c r="X86" i="28"/>
  <c r="X87" i="28"/>
  <c r="X88" i="28"/>
  <c r="X89" i="28"/>
  <c r="X90" i="28"/>
  <c r="X91" i="28"/>
  <c r="X92" i="28"/>
  <c r="X93" i="28"/>
  <c r="X94" i="28"/>
  <c r="X95" i="28"/>
  <c r="X96" i="28"/>
  <c r="X97" i="28"/>
  <c r="X98" i="28"/>
  <c r="X99" i="28"/>
  <c r="X100" i="28"/>
  <c r="X101" i="28"/>
  <c r="X102" i="28"/>
  <c r="X103" i="28"/>
  <c r="X104" i="28"/>
  <c r="X105" i="28"/>
  <c r="X106" i="28"/>
  <c r="X107" i="28"/>
  <c r="X108" i="28"/>
  <c r="X109" i="28"/>
  <c r="X110" i="28"/>
  <c r="X111" i="28"/>
  <c r="X112" i="28"/>
  <c r="X113" i="28"/>
  <c r="X114" i="28"/>
  <c r="X115" i="28"/>
  <c r="X116" i="28"/>
  <c r="U77" i="28"/>
  <c r="U78" i="28"/>
  <c r="U79" i="28"/>
  <c r="U80" i="28"/>
  <c r="U81" i="28"/>
  <c r="U82" i="28"/>
  <c r="U83" i="28"/>
  <c r="U84" i="28"/>
  <c r="U85" i="28"/>
  <c r="U86" i="28"/>
  <c r="U87" i="28"/>
  <c r="U88" i="28"/>
  <c r="U89" i="28"/>
  <c r="U90" i="28"/>
  <c r="U91" i="28"/>
  <c r="U92" i="28"/>
  <c r="U93" i="28"/>
  <c r="U94" i="28"/>
  <c r="U95" i="28"/>
  <c r="U96" i="28"/>
  <c r="U97" i="28"/>
  <c r="U98" i="28"/>
  <c r="U99" i="28"/>
  <c r="U100" i="28"/>
  <c r="R77" i="28"/>
  <c r="R78" i="28"/>
  <c r="R79" i="28"/>
  <c r="R80" i="28"/>
  <c r="R81" i="28"/>
  <c r="R82" i="28"/>
  <c r="R83" i="28"/>
  <c r="R84" i="28"/>
  <c r="R85" i="28"/>
  <c r="R86" i="28"/>
  <c r="R87" i="28"/>
  <c r="R88" i="28"/>
  <c r="R89" i="28"/>
  <c r="R90" i="28"/>
  <c r="R91" i="28"/>
  <c r="R92" i="28"/>
  <c r="R93" i="28"/>
  <c r="R94" i="28"/>
  <c r="R95" i="28"/>
  <c r="R96" i="28"/>
  <c r="R97" i="28"/>
  <c r="R98" i="28"/>
  <c r="R99" i="28"/>
  <c r="R100" i="28"/>
  <c r="R101" i="28"/>
  <c r="R102" i="28"/>
  <c r="U76" i="28"/>
  <c r="M83" i="28"/>
  <c r="M84" i="28"/>
  <c r="M85" i="28"/>
  <c r="M86" i="28"/>
  <c r="M87" i="28"/>
  <c r="M88" i="28"/>
  <c r="M89" i="28"/>
  <c r="M90" i="28"/>
  <c r="M91" i="28"/>
  <c r="M92" i="28"/>
  <c r="M93" i="28"/>
  <c r="M94" i="28"/>
  <c r="M95" i="28"/>
  <c r="M96" i="28"/>
  <c r="M97" i="28"/>
  <c r="M98" i="28"/>
  <c r="M99" i="28"/>
  <c r="M100" i="28"/>
  <c r="M101" i="28"/>
  <c r="M102" i="28"/>
  <c r="M103" i="28"/>
  <c r="M104" i="28"/>
  <c r="M77" i="28"/>
  <c r="M78" i="28"/>
  <c r="M79" i="28"/>
  <c r="M80" i="28"/>
  <c r="M81" i="28"/>
  <c r="M82" i="28"/>
  <c r="M76" i="28"/>
  <c r="J107" i="28"/>
  <c r="J108" i="28"/>
  <c r="J109" i="28"/>
  <c r="J110" i="28"/>
  <c r="J111" i="28"/>
  <c r="J112" i="28"/>
  <c r="J113" i="28"/>
  <c r="J114" i="28"/>
  <c r="J115" i="28"/>
  <c r="J116" i="28"/>
  <c r="J77" i="28"/>
  <c r="J78" i="28"/>
  <c r="J79" i="28"/>
  <c r="J80" i="28"/>
  <c r="J81" i="28"/>
  <c r="J82" i="28"/>
  <c r="J83" i="28"/>
  <c r="J84" i="28"/>
  <c r="J85" i="28"/>
  <c r="J86" i="28"/>
  <c r="J87" i="28"/>
  <c r="J88" i="28"/>
  <c r="J89" i="28"/>
  <c r="J90" i="28"/>
  <c r="J91" i="28"/>
  <c r="J92" i="28"/>
  <c r="J93" i="28"/>
  <c r="J94" i="28"/>
  <c r="J95" i="28"/>
  <c r="J96" i="28"/>
  <c r="J97" i="28"/>
  <c r="J98" i="28"/>
  <c r="J99" i="28"/>
  <c r="J100" i="28"/>
  <c r="J101" i="28"/>
  <c r="J102" i="28"/>
  <c r="J103" i="28"/>
  <c r="J104" i="28"/>
  <c r="J105" i="28"/>
  <c r="J106" i="28"/>
  <c r="G77" i="28"/>
  <c r="G78" i="28"/>
  <c r="G79" i="28"/>
  <c r="G80" i="28"/>
  <c r="G81" i="28"/>
  <c r="G82" i="28"/>
  <c r="G83" i="28"/>
  <c r="G84" i="28"/>
  <c r="G85" i="28"/>
  <c r="G86" i="28"/>
  <c r="G87" i="28"/>
  <c r="G88" i="28"/>
  <c r="G89" i="28"/>
  <c r="G90" i="28"/>
  <c r="G91" i="28"/>
  <c r="G92" i="28"/>
  <c r="G93" i="28"/>
  <c r="G94" i="28"/>
  <c r="G95" i="28"/>
  <c r="G96" i="28"/>
  <c r="G97" i="28"/>
  <c r="G98" i="28"/>
  <c r="G99" i="28"/>
  <c r="G100" i="28"/>
  <c r="D77" i="28"/>
  <c r="D78" i="28"/>
  <c r="D79" i="28"/>
  <c r="D80" i="28"/>
  <c r="D81" i="28"/>
  <c r="D82" i="28"/>
  <c r="D83" i="28"/>
  <c r="D84" i="28"/>
  <c r="D85" i="28"/>
  <c r="D86" i="28"/>
  <c r="D87" i="28"/>
  <c r="D88" i="28"/>
  <c r="D89" i="28"/>
  <c r="D90" i="28"/>
  <c r="D91" i="28"/>
  <c r="D92" i="28"/>
  <c r="D93" i="28"/>
  <c r="D94" i="28"/>
  <c r="D95" i="28"/>
  <c r="D96" i="28"/>
  <c r="D97" i="28"/>
  <c r="D98" i="28"/>
  <c r="D99" i="28"/>
  <c r="D100" i="28"/>
  <c r="D101" i="28"/>
  <c r="D102" i="28"/>
  <c r="D76" i="28"/>
  <c r="G4" i="16" l="1"/>
  <c r="G5" i="16"/>
  <c r="G15" i="16" s="1"/>
  <c r="L15" i="17" l="1"/>
  <c r="L17" i="17"/>
  <c r="L9" i="17" l="1"/>
  <c r="L4" i="17"/>
  <c r="G4" i="17"/>
  <c r="A3" i="16" l="1"/>
  <c r="A3" i="17"/>
  <c r="L8" i="16" l="1"/>
  <c r="L7" i="16"/>
  <c r="L6" i="16"/>
  <c r="L16" i="16" s="1"/>
  <c r="L5" i="16"/>
  <c r="L15" i="16" s="1"/>
  <c r="L4" i="16"/>
  <c r="G8" i="16"/>
  <c r="G7" i="16"/>
  <c r="G13" i="16" s="1"/>
  <c r="G17" i="16" s="1"/>
  <c r="B17" i="16" s="1"/>
  <c r="G6" i="16"/>
  <c r="L14" i="17"/>
  <c r="L13" i="17"/>
  <c r="L12" i="17"/>
  <c r="L11" i="17"/>
  <c r="L27" i="17" s="1"/>
  <c r="L10" i="17"/>
  <c r="L8" i="17"/>
  <c r="L7" i="17"/>
  <c r="L6" i="17"/>
  <c r="L25" i="17" s="1"/>
  <c r="L5" i="17"/>
  <c r="G16" i="17"/>
  <c r="G14" i="17"/>
  <c r="G11" i="17"/>
  <c r="G27" i="17" s="1"/>
  <c r="G10" i="17"/>
  <c r="G8" i="17"/>
  <c r="G7" i="17"/>
  <c r="G6" i="17"/>
  <c r="G25" i="17" s="1"/>
  <c r="G14" i="16" l="1"/>
  <c r="G18" i="16" s="1"/>
  <c r="G16" i="16"/>
  <c r="B16" i="16" s="1"/>
  <c r="G24" i="5" s="1"/>
  <c r="L14" i="16"/>
  <c r="L18" i="16" s="1"/>
  <c r="L13" i="16"/>
  <c r="L17" i="16" s="1"/>
  <c r="G22" i="17"/>
  <c r="G26" i="17" s="1"/>
  <c r="B13" i="16"/>
  <c r="G24" i="17"/>
  <c r="B24" i="17" s="1"/>
  <c r="G23" i="17"/>
  <c r="B23" i="17" s="1"/>
  <c r="L24" i="17"/>
  <c r="L29" i="17" s="1"/>
  <c r="L23" i="17"/>
  <c r="L28" i="17" s="1"/>
  <c r="L22" i="17"/>
  <c r="L26" i="17" s="1"/>
  <c r="B14" i="16" l="1"/>
  <c r="G28" i="17"/>
  <c r="G29" i="17"/>
  <c r="B22" i="17"/>
  <c r="B18" i="16" l="1"/>
  <c r="G26" i="5" s="1"/>
  <c r="G25" i="5" l="1"/>
  <c r="B15" i="16"/>
  <c r="G23" i="5" s="1"/>
  <c r="B27" i="17"/>
  <c r="G30" i="5" s="1"/>
  <c r="G22" i="5" l="1"/>
  <c r="B29" i="17"/>
  <c r="B26" i="17"/>
  <c r="B28" i="17"/>
  <c r="G29" i="5" l="1"/>
  <c r="G32" i="5" l="1"/>
  <c r="AB15" i="21" l="1"/>
  <c r="G31" i="5" l="1"/>
  <c r="B10" i="21" l="1"/>
  <c r="AN1" i="5" l="1"/>
  <c r="AI1" i="5"/>
  <c r="AD1" i="5"/>
  <c r="Y1" i="5"/>
  <c r="L13" i="21"/>
  <c r="M13" i="21"/>
  <c r="T13" i="21"/>
  <c r="B22" i="21" s="1"/>
  <c r="U13" i="21"/>
  <c r="V13" i="21"/>
  <c r="C28" i="5"/>
  <c r="C31" i="5"/>
  <c r="C32" i="5"/>
  <c r="B21" i="21" l="1"/>
  <c r="D32" i="21" s="1"/>
  <c r="D33" i="21" l="1"/>
  <c r="B25" i="17" l="1"/>
  <c r="G28" i="5" s="1"/>
  <c r="G27" i="5" l="1"/>
  <c r="G21" i="5" s="1"/>
  <c r="D12" i="42"/>
  <c r="G18" i="5" s="1"/>
  <c r="G11" i="5" s="1"/>
  <c r="F8" i="5" l="1"/>
  <c r="B18" i="20" s="1"/>
  <c r="G8" i="5"/>
</calcChain>
</file>

<file path=xl/sharedStrings.xml><?xml version="1.0" encoding="utf-8"?>
<sst xmlns="http://schemas.openxmlformats.org/spreadsheetml/2006/main" count="1076" uniqueCount="612">
  <si>
    <t>Thermischer Komfort im Sommer</t>
  </si>
  <si>
    <t>Nr.</t>
  </si>
  <si>
    <t>Titel</t>
  </si>
  <si>
    <t>Punkte</t>
  </si>
  <si>
    <t>B</t>
  </si>
  <si>
    <t>Gesamt</t>
  </si>
  <si>
    <t>1.</t>
  </si>
  <si>
    <t>A</t>
  </si>
  <si>
    <t>C</t>
  </si>
  <si>
    <t>D</t>
  </si>
  <si>
    <t>Ökologie der Baustoffe und Konstruktionen</t>
  </si>
  <si>
    <t>max. Punktzahl</t>
  </si>
  <si>
    <t>Nachweis nach PHPP</t>
  </si>
  <si>
    <t>Vermeidung von PVC</t>
  </si>
  <si>
    <t xml:space="preserve">Messung Raumluftqualität </t>
  </si>
  <si>
    <t>erreichte Punkte</t>
  </si>
  <si>
    <t>Beschreibung</t>
  </si>
  <si>
    <t>Primärenergiebedarf</t>
  </si>
  <si>
    <t>Kriterium</t>
  </si>
  <si>
    <t>Summe</t>
  </si>
  <si>
    <t>Auswertung</t>
  </si>
  <si>
    <t xml:space="preserve">Auswertung </t>
  </si>
  <si>
    <t>VOC</t>
  </si>
  <si>
    <t>Kl I</t>
  </si>
  <si>
    <t>&lt; 300 µg/m³</t>
  </si>
  <si>
    <t>50 Punkte</t>
  </si>
  <si>
    <t>Kl II</t>
  </si>
  <si>
    <t>300 - 500 µg/m³</t>
  </si>
  <si>
    <t>35 Punkte</t>
  </si>
  <si>
    <t>Kl III</t>
  </si>
  <si>
    <t>500 - 1.000 µg/m³</t>
  </si>
  <si>
    <t>20 Punkte</t>
  </si>
  <si>
    <t>Kl IV</t>
  </si>
  <si>
    <t xml:space="preserve"> 1.000 – 3000 µg/m³</t>
  </si>
  <si>
    <t>0 Punkte, 
Quellensuche empfohlen</t>
  </si>
  <si>
    <t>&gt; 3.000 µg/m³</t>
  </si>
  <si>
    <t>Quellensuche erforderlich</t>
  </si>
  <si>
    <t>Formaldehyd</t>
  </si>
  <si>
    <t>&lt; 0,04 ppm</t>
  </si>
  <si>
    <t>0,04 - 0,08 ppm</t>
  </si>
  <si>
    <t>0,08 - 0,1 ppm</t>
  </si>
  <si>
    <t>10 Punkte</t>
  </si>
  <si>
    <t>&gt; 0,1 ppm</t>
  </si>
  <si>
    <t xml:space="preserve">Elektroinstallationsmaterialien (Kabel, Leitungen, Rohre, Dosen etc.) </t>
  </si>
  <si>
    <t>5 Punkte</t>
  </si>
  <si>
    <t>m²</t>
  </si>
  <si>
    <t>CO2</t>
  </si>
  <si>
    <r>
      <rPr>
        <sz val="10"/>
        <rFont val="Arial"/>
        <family val="2"/>
      </rPr>
      <t>Kunststofffolien und Vliese jeglicher Art (Dampfbremsen, Abdichtungsbahnen, Trennschichten, Baufolien etc.)</t>
    </r>
    <r>
      <rPr>
        <sz val="10"/>
        <color indexed="8"/>
        <rFont val="Arial"/>
        <family val="2"/>
      </rPr>
      <t xml:space="preserve"> und Dichtstoffe </t>
    </r>
  </si>
  <si>
    <t>Projekt</t>
  </si>
  <si>
    <t>Punkte bei Erreichung der Maximalausstattung</t>
  </si>
  <si>
    <t>Punkte bei Erreichung der Mindestausstattung</t>
  </si>
  <si>
    <t>Punkteermittlung</t>
  </si>
  <si>
    <t>Optimalausstattung</t>
  </si>
  <si>
    <t>Mindestausstattung</t>
  </si>
  <si>
    <t>Arbeitsplätze/Beschäftigte</t>
  </si>
  <si>
    <t>Wolfurt</t>
  </si>
  <si>
    <t>Standortgemeinde</t>
  </si>
  <si>
    <t>Kindergarten</t>
  </si>
  <si>
    <t>Hinweise:</t>
  </si>
  <si>
    <t>Objektbezeichnung</t>
  </si>
  <si>
    <t>Angaben zum Objekt</t>
  </si>
  <si>
    <t>Bewohner</t>
  </si>
  <si>
    <t>Pflegeheim/Altersheim</t>
  </si>
  <si>
    <t>Ausbildungsplätze</t>
  </si>
  <si>
    <t>Mittelschule/Hauptschule</t>
  </si>
  <si>
    <t>Volksschule</t>
  </si>
  <si>
    <t>Verwaltungsgebäude</t>
  </si>
  <si>
    <t>Bezugsgröße 3</t>
  </si>
  <si>
    <t>Bezugsgröße 2</t>
  </si>
  <si>
    <t>Bezugsgröße 1</t>
  </si>
  <si>
    <t>Ausbildungsplatz Max</t>
  </si>
  <si>
    <t>Ausbildungsplatz Min</t>
  </si>
  <si>
    <t>Mitarbeiter Max</t>
  </si>
  <si>
    <t>Mitarbeiter Min</t>
  </si>
  <si>
    <t>Gebäudetyp</t>
  </si>
  <si>
    <t>Kategorie A: Gute Eignung für innerörtlichen und überkommunalen Alltagsradverkehr</t>
  </si>
  <si>
    <t>Zwischenwasser - Muntlix</t>
  </si>
  <si>
    <t>Kategorie C: Eingeschränkte Eignung für den Alltagsradverkehr</t>
  </si>
  <si>
    <t>Zwischenwasser - Dafins</t>
  </si>
  <si>
    <t>Zwischenwasser - Batschuns</t>
  </si>
  <si>
    <t>Weiler</t>
  </si>
  <si>
    <t>Warth</t>
  </si>
  <si>
    <t>Viktorsberg</t>
  </si>
  <si>
    <t>Kategorie B: Gute Eignung für den innerörtlichen Alltagsradverkehr</t>
  </si>
  <si>
    <t>Vandans</t>
  </si>
  <si>
    <t>Übersaxen</t>
  </si>
  <si>
    <t>Tschagguns</t>
  </si>
  <si>
    <t>Thüringerberg</t>
  </si>
  <si>
    <t>Thüringen</t>
  </si>
  <si>
    <t>Sulzberg</t>
  </si>
  <si>
    <t>Sulz</t>
  </si>
  <si>
    <t>Stallehr</t>
  </si>
  <si>
    <t>St. Gerold</t>
  </si>
  <si>
    <t>St. Gallenkirch</t>
  </si>
  <si>
    <t>St. Anton im Montafon</t>
  </si>
  <si>
    <t>Sonntag</t>
  </si>
  <si>
    <t>Silbertal</t>
  </si>
  <si>
    <t>Sibratsgfäll</t>
  </si>
  <si>
    <t>Schwarzenberg</t>
  </si>
  <si>
    <t>Schwarzach</t>
  </si>
  <si>
    <t>Schruns</t>
  </si>
  <si>
    <t>Schröcken</t>
  </si>
  <si>
    <t>Schoppernau</t>
  </si>
  <si>
    <t>Schnifis</t>
  </si>
  <si>
    <t>Schnepfau</t>
  </si>
  <si>
    <t>Schlins</t>
  </si>
  <si>
    <t>Satteins</t>
  </si>
  <si>
    <t>Röthis</t>
  </si>
  <si>
    <t>Röns</t>
  </si>
  <si>
    <t>Riefensberg</t>
  </si>
  <si>
    <t>Reuthe</t>
  </si>
  <si>
    <t>Rankweil</t>
  </si>
  <si>
    <t>Raggal</t>
  </si>
  <si>
    <t>Nüziders</t>
  </si>
  <si>
    <t>Nenzing - Latz</t>
  </si>
  <si>
    <t>Nenzing - Gurtis</t>
  </si>
  <si>
    <t>Nenzing</t>
  </si>
  <si>
    <t>Möggers</t>
  </si>
  <si>
    <t>Mittelberg</t>
  </si>
  <si>
    <t>Mellau</t>
  </si>
  <si>
    <t>Meiningen</t>
  </si>
  <si>
    <t>Mäder</t>
  </si>
  <si>
    <t>Lustenau</t>
  </si>
  <si>
    <t>Ludesch</t>
  </si>
  <si>
    <t>Lorüns</t>
  </si>
  <si>
    <t>Lochau</t>
  </si>
  <si>
    <t>Lingenau</t>
  </si>
  <si>
    <t>Lech</t>
  </si>
  <si>
    <t>Lauterach</t>
  </si>
  <si>
    <t>Laterns</t>
  </si>
  <si>
    <t>Langenegg</t>
  </si>
  <si>
    <t>Langen bei Bregenz</t>
  </si>
  <si>
    <t>Krumbach</t>
  </si>
  <si>
    <t>Koblach</t>
  </si>
  <si>
    <t>Klösterle</t>
  </si>
  <si>
    <t>Klaus</t>
  </si>
  <si>
    <t>Kennelbach</t>
  </si>
  <si>
    <t>Innerbraz</t>
  </si>
  <si>
    <t>Hörbranz</t>
  </si>
  <si>
    <t>Hohenweiler</t>
  </si>
  <si>
    <t>Hohenems - Reuthe</t>
  </si>
  <si>
    <t>Hohenems</t>
  </si>
  <si>
    <t>Höchst</t>
  </si>
  <si>
    <t>Hittisau</t>
  </si>
  <si>
    <t>Hard</t>
  </si>
  <si>
    <t>Götzis - Meschach</t>
  </si>
  <si>
    <t>Götzis</t>
  </si>
  <si>
    <t>Göfis</t>
  </si>
  <si>
    <t>Gaschurn</t>
  </si>
  <si>
    <t>Gaißau</t>
  </si>
  <si>
    <t>Fußach</t>
  </si>
  <si>
    <t>Fraxern</t>
  </si>
  <si>
    <t>Frastanz - Gampelün</t>
  </si>
  <si>
    <t>Frastanz - Frastaferders</t>
  </si>
  <si>
    <t>Frastanz - Fellengatter</t>
  </si>
  <si>
    <t>Frastanz - Amerlügern</t>
  </si>
  <si>
    <t>Frastanz</t>
  </si>
  <si>
    <t>Fontanella</t>
  </si>
  <si>
    <t>Feldkirch</t>
  </si>
  <si>
    <t>Eichenberg</t>
  </si>
  <si>
    <t>Egg</t>
  </si>
  <si>
    <t>Dünserberg</t>
  </si>
  <si>
    <t>Düns</t>
  </si>
  <si>
    <t>Dornbirn - Kehlegg</t>
  </si>
  <si>
    <t>Dornbirn - Ebnit</t>
  </si>
  <si>
    <t>Dornbirn</t>
  </si>
  <si>
    <t>Doren</t>
  </si>
  <si>
    <t>Donbirn - Watzenegg</t>
  </si>
  <si>
    <t>Damüls</t>
  </si>
  <si>
    <t>Dalaas</t>
  </si>
  <si>
    <t>Bürserberg</t>
  </si>
  <si>
    <t>Bürs</t>
  </si>
  <si>
    <t>Buch</t>
  </si>
  <si>
    <t>Bregenz - Fluh</t>
  </si>
  <si>
    <t>Bregenz</t>
  </si>
  <si>
    <t>Brand</t>
  </si>
  <si>
    <t>Bludesch</t>
  </si>
  <si>
    <t>Bludenz</t>
  </si>
  <si>
    <t>Blons</t>
  </si>
  <si>
    <t>Bizau</t>
  </si>
  <si>
    <t>Bildstein</t>
  </si>
  <si>
    <t>Bezau</t>
  </si>
  <si>
    <t>Bartholomäberg</t>
  </si>
  <si>
    <t>Au</t>
  </si>
  <si>
    <t>Andelsbuch</t>
  </si>
  <si>
    <t>Altach</t>
  </si>
  <si>
    <t>Alberschwende</t>
  </si>
  <si>
    <t>Faktor</t>
  </si>
  <si>
    <t>Kategorie</t>
  </si>
  <si>
    <t>Gemeinde</t>
  </si>
  <si>
    <t>A/V-Verhältnis</t>
  </si>
  <si>
    <t>1/m</t>
  </si>
  <si>
    <t>Spezifischer Heizwärmbedarf HWB</t>
  </si>
  <si>
    <t>kWh/m²a</t>
  </si>
  <si>
    <t>kgCO2/m²a</t>
  </si>
  <si>
    <t>Ergebnisse</t>
  </si>
  <si>
    <t>HWB-Punkte</t>
  </si>
  <si>
    <t>PEB-Punkte</t>
  </si>
  <si>
    <t>kWh/a</t>
  </si>
  <si>
    <t>Eingabefelder</t>
  </si>
  <si>
    <t>Rechenfelder</t>
  </si>
  <si>
    <t xml:space="preserve">Projektdaten </t>
  </si>
  <si>
    <t>Genaue Bezeichnung des Bauvorhabens</t>
  </si>
  <si>
    <t>Zeitpunkt der Fertigstellung</t>
  </si>
  <si>
    <t>KGA-Bewertungspunkte</t>
  </si>
  <si>
    <t>Datum</t>
  </si>
  <si>
    <t>Firmen-Stampiglie und Unterschrift</t>
  </si>
  <si>
    <t>Amtsbesucher Min</t>
  </si>
  <si>
    <t>Amtsbesucher Max</t>
  </si>
  <si>
    <t>Veranstaltungsbesucher Min</t>
  </si>
  <si>
    <t>Veranstaltungsbesucher  Max</t>
  </si>
  <si>
    <t>Heimbesucher+-bewohner Min</t>
  </si>
  <si>
    <t>Heimbesucher+-bewohner Max</t>
  </si>
  <si>
    <t>Objekttyp</t>
  </si>
  <si>
    <t xml:space="preserve">Detaillierte Angaben zur erforderlichen Qualität </t>
  </si>
  <si>
    <t xml:space="preserve"> ==&gt; Bei Schulen hier die Anzahl der Lehrer, Schulwart, Reinigungskräfte eintragen</t>
  </si>
  <si>
    <t xml:space="preserve"> ==&gt; Personen aus Sprengelgemeinden bzw. Ortsteilen,  die sich in Raddistanz befinden (&gt; 300 m und &lt;10 km bzw. zu steiles Gelände)</t>
  </si>
  <si>
    <t>Besucher des Veranstaltungsgebäudes</t>
  </si>
  <si>
    <t>Bewohner von Pflegeheimen</t>
  </si>
  <si>
    <t>Heimbesucher Min</t>
  </si>
  <si>
    <t>Heimbesucher Max</t>
  </si>
  <si>
    <t>Veranstaltungssaal mit vorwiegend lokaler Nutzung</t>
  </si>
  <si>
    <t>Veranstaltungssaal mit lokaler und regionaler Nutzung</t>
  </si>
  <si>
    <t>Veranstaltungssaal mit vorwiegend überregionaler Nutzung</t>
  </si>
  <si>
    <t>Architekt</t>
  </si>
  <si>
    <t>Anmerkungen:</t>
  </si>
  <si>
    <t xml:space="preserve">KGA - Erstelldatum </t>
  </si>
  <si>
    <r>
      <t>Emissionen CO</t>
    </r>
    <r>
      <rPr>
        <b/>
        <vertAlign val="subscript"/>
        <sz val="10"/>
        <rFont val="Arial"/>
        <family val="2"/>
      </rPr>
      <t>2</t>
    </r>
    <r>
      <rPr>
        <b/>
        <sz val="10"/>
        <rFont val="Arial"/>
        <family val="2"/>
      </rPr>
      <t xml:space="preserve">-Äquivalente </t>
    </r>
  </si>
  <si>
    <t>Stand:</t>
  </si>
  <si>
    <t>Stand 1</t>
  </si>
  <si>
    <t>Stand 2</t>
  </si>
  <si>
    <t>Stand 3</t>
  </si>
  <si>
    <t>Stand 4</t>
  </si>
  <si>
    <t>Stand 5</t>
  </si>
  <si>
    <t>Stand 6</t>
  </si>
  <si>
    <t>kWh/(m²a)</t>
  </si>
  <si>
    <t>kgCO2/(m²a)</t>
  </si>
  <si>
    <t>Sehr gute Anbindung an Stadtbusnetz</t>
  </si>
  <si>
    <t>mit "x" markieren</t>
  </si>
  <si>
    <t>Datum der Baueingabe</t>
  </si>
  <si>
    <t xml:space="preserve"> ==&gt; Anzahl der Veranstaltungsbesucher (siehe Nebenrechnung rechts)</t>
  </si>
  <si>
    <t>Nebenrechnung Veranstaltungsgebäude</t>
  </si>
  <si>
    <t>Maximal zulässige Belegung</t>
  </si>
  <si>
    <t>Name</t>
  </si>
  <si>
    <t>Anzahl Personen</t>
  </si>
  <si>
    <t>Anzahl pro Jahr</t>
  </si>
  <si>
    <t>Anzahl Veranstaltungen pro Jahr</t>
  </si>
  <si>
    <t>gewichtete Belegungsdichte</t>
  </si>
  <si>
    <t>Belegungsszenario 1</t>
  </si>
  <si>
    <t>Belegungsszenario 2</t>
  </si>
  <si>
    <t>Belegungsszenario 3</t>
  </si>
  <si>
    <t>Belegungsszenario 4</t>
  </si>
  <si>
    <t>Belegungsszenario 5</t>
  </si>
  <si>
    <t>Gewichtete Besucheranzahl</t>
  </si>
  <si>
    <t>Beratungsprotokoll</t>
  </si>
  <si>
    <t>Max. 10</t>
  </si>
  <si>
    <t>Zielerreichung</t>
  </si>
  <si>
    <t>KGA - Prüfer</t>
  </si>
  <si>
    <t>Genaue Firmenbezeichnung des KGA-Prüfers</t>
  </si>
  <si>
    <t>Kühlbedarf KB</t>
  </si>
  <si>
    <t>KB-Punkte</t>
  </si>
  <si>
    <r>
      <t>Photovoltaik Export PV</t>
    </r>
    <r>
      <rPr>
        <vertAlign val="subscript"/>
        <sz val="10"/>
        <color theme="1"/>
        <rFont val="Arial"/>
        <family val="2"/>
      </rPr>
      <t>Export;SK</t>
    </r>
  </si>
  <si>
    <r>
      <t>Kühlbedarf KB</t>
    </r>
    <r>
      <rPr>
        <vertAlign val="subscript"/>
        <sz val="10"/>
        <color theme="1"/>
        <rFont val="Arial"/>
        <family val="2"/>
      </rPr>
      <t>SK</t>
    </r>
  </si>
  <si>
    <r>
      <t>Heizwärmbedarf HWB</t>
    </r>
    <r>
      <rPr>
        <vertAlign val="subscript"/>
        <sz val="10"/>
        <color theme="1"/>
        <rFont val="Arial"/>
        <family val="2"/>
      </rPr>
      <t>SK</t>
    </r>
  </si>
  <si>
    <r>
      <t>Primärenergiebedarf gesamt PEB</t>
    </r>
    <r>
      <rPr>
        <vertAlign val="subscript"/>
        <sz val="10"/>
        <color theme="1"/>
        <rFont val="Arial"/>
        <family val="2"/>
      </rPr>
      <t>SK</t>
    </r>
  </si>
  <si>
    <r>
      <t>CO2</t>
    </r>
    <r>
      <rPr>
        <vertAlign val="subscript"/>
        <sz val="10"/>
        <color theme="1"/>
        <rFont val="Arial"/>
        <family val="2"/>
      </rPr>
      <t>SK</t>
    </r>
    <r>
      <rPr>
        <sz val="10"/>
        <color theme="1"/>
        <rFont val="Arial"/>
        <family val="2"/>
      </rPr>
      <t xml:space="preserve"> gesamt (EAW)</t>
    </r>
  </si>
  <si>
    <t>Betriebsstrombedarf BSB</t>
  </si>
  <si>
    <t>Beleuchtungsenergiebedarf BelEB</t>
  </si>
  <si>
    <r>
      <t>KB</t>
    </r>
    <r>
      <rPr>
        <b/>
        <vertAlign val="subscript"/>
        <sz val="10"/>
        <rFont val="Arial"/>
        <family val="2"/>
      </rPr>
      <t>SK</t>
    </r>
    <r>
      <rPr>
        <b/>
        <sz val="10"/>
        <rFont val="Arial"/>
        <family val="2"/>
      </rPr>
      <t>-Punkte</t>
    </r>
  </si>
  <si>
    <r>
      <t>HWB</t>
    </r>
    <r>
      <rPr>
        <b/>
        <vertAlign val="subscript"/>
        <sz val="10"/>
        <rFont val="Arial"/>
        <family val="2"/>
      </rPr>
      <t>SK</t>
    </r>
    <r>
      <rPr>
        <b/>
        <sz val="10"/>
        <rFont val="Arial"/>
        <family val="2"/>
      </rPr>
      <t>-Punkte</t>
    </r>
  </si>
  <si>
    <r>
      <t>PEB</t>
    </r>
    <r>
      <rPr>
        <b/>
        <vertAlign val="subscript"/>
        <sz val="10"/>
        <color theme="1"/>
        <rFont val="Arial"/>
        <family val="2"/>
      </rPr>
      <t>SK</t>
    </r>
    <r>
      <rPr>
        <b/>
        <sz val="10"/>
        <color theme="1"/>
        <rFont val="Arial"/>
        <family val="2"/>
      </rPr>
      <t>-Punkte</t>
    </r>
  </si>
  <si>
    <r>
      <t>Heizwärmebedarf HWB</t>
    </r>
    <r>
      <rPr>
        <b/>
        <vertAlign val="subscript"/>
        <sz val="10"/>
        <rFont val="Arial"/>
        <family val="2"/>
      </rPr>
      <t>SK</t>
    </r>
  </si>
  <si>
    <r>
      <t>Kühlbedarf KB</t>
    </r>
    <r>
      <rPr>
        <b/>
        <vertAlign val="subscript"/>
        <sz val="10"/>
        <rFont val="Arial"/>
        <family val="2"/>
      </rPr>
      <t>SK</t>
    </r>
  </si>
  <si>
    <r>
      <t>Primärenergiebedarf PEB</t>
    </r>
    <r>
      <rPr>
        <b/>
        <vertAlign val="subscript"/>
        <sz val="10"/>
        <color indexed="8"/>
        <rFont val="Arial"/>
        <family val="2"/>
      </rPr>
      <t>SK</t>
    </r>
  </si>
  <si>
    <r>
      <t>CO2</t>
    </r>
    <r>
      <rPr>
        <b/>
        <vertAlign val="subscript"/>
        <sz val="10"/>
        <color theme="1"/>
        <rFont val="Arial"/>
        <family val="2"/>
      </rPr>
      <t>SK</t>
    </r>
    <r>
      <rPr>
        <b/>
        <sz val="10"/>
        <color theme="1"/>
        <rFont val="Arial"/>
        <family val="2"/>
      </rPr>
      <t>-Punkte</t>
    </r>
  </si>
  <si>
    <t>inklusiv aller internen Lasten auch Betriebsstrom</t>
  </si>
  <si>
    <t>Energiebezugsfläche PHPP</t>
  </si>
  <si>
    <t xml:space="preserve">PV Ertrag mit Eigenbedarfsdeckung </t>
  </si>
  <si>
    <t>Tageslichtnutzung</t>
  </si>
  <si>
    <t>Neubau</t>
  </si>
  <si>
    <t>Sanierung</t>
  </si>
  <si>
    <t>Eingabefeld PHPP Neubau</t>
  </si>
  <si>
    <t>Ergebnisse Neubau</t>
  </si>
  <si>
    <t>Eingabefeld PHPP Sanierung</t>
  </si>
  <si>
    <t>Ergebnisse Sanierung</t>
  </si>
  <si>
    <t>Rechenfelder Neubau</t>
  </si>
  <si>
    <t>Rechenfelder Sanierung</t>
  </si>
  <si>
    <t>Eingabefeld OIB RL-6 Neubau</t>
  </si>
  <si>
    <t>Eingabefeld OIB RL-6 Sanierung</t>
  </si>
  <si>
    <r>
      <rPr>
        <b/>
        <sz val="11"/>
        <color rgb="FFFF0000"/>
        <rFont val="Arial"/>
        <family val="2"/>
      </rPr>
      <t>Bitte wählen Sie</t>
    </r>
    <r>
      <rPr>
        <b/>
        <sz val="11"/>
        <rFont val="Arial"/>
        <family val="2"/>
      </rPr>
      <t xml:space="preserve">
Bei dem Gebäude handelt es sich um einen/eine:</t>
    </r>
  </si>
  <si>
    <t>Fahrradabstellplätze und Elektromobilität</t>
  </si>
  <si>
    <t>Gebäudehüllfläche</t>
  </si>
  <si>
    <t>W/K</t>
  </si>
  <si>
    <t>m³</t>
  </si>
  <si>
    <r>
      <t>LEK</t>
    </r>
    <r>
      <rPr>
        <vertAlign val="subscript"/>
        <sz val="10"/>
        <color theme="1"/>
        <rFont val="Arial"/>
        <family val="2"/>
      </rPr>
      <t>T</t>
    </r>
    <r>
      <rPr>
        <sz val="10"/>
        <color theme="1"/>
        <rFont val="Arial"/>
        <family val="2"/>
      </rPr>
      <t>-Wert</t>
    </r>
  </si>
  <si>
    <r>
      <t>korrigierter LEK</t>
    </r>
    <r>
      <rPr>
        <vertAlign val="subscript"/>
        <sz val="10"/>
        <color theme="1"/>
        <rFont val="Arial"/>
        <family val="2"/>
      </rPr>
      <t>T</t>
    </r>
    <r>
      <rPr>
        <sz val="10"/>
        <color theme="1"/>
        <rFont val="Arial"/>
        <family val="2"/>
      </rPr>
      <t>-Wert</t>
    </r>
  </si>
  <si>
    <t>Brutto-Volumen</t>
  </si>
  <si>
    <r>
      <t>LEK</t>
    </r>
    <r>
      <rPr>
        <b/>
        <vertAlign val="subscript"/>
        <sz val="10"/>
        <color theme="1"/>
        <rFont val="Arial"/>
        <family val="2"/>
      </rPr>
      <t>T</t>
    </r>
    <r>
      <rPr>
        <b/>
        <sz val="10"/>
        <color theme="1"/>
        <rFont val="Arial"/>
        <family val="2"/>
      </rPr>
      <t>-Punkte</t>
    </r>
  </si>
  <si>
    <t>Generalsanierung</t>
  </si>
  <si>
    <t>Summe Bauteilflächen zum Bestand</t>
  </si>
  <si>
    <r>
      <t>Transmissions-Leitwert L</t>
    </r>
    <r>
      <rPr>
        <vertAlign val="subscript"/>
        <sz val="10"/>
        <color theme="1"/>
        <rFont val="Arial"/>
        <family val="2"/>
      </rPr>
      <t xml:space="preserve">T </t>
    </r>
    <r>
      <rPr>
        <sz val="10"/>
        <color theme="1"/>
        <rFont val="Arial"/>
        <family val="2"/>
      </rPr>
      <t>inkl. Wärmebrückenzuschlag</t>
    </r>
  </si>
  <si>
    <t>Endenergiebedarf Beleuchtung (eigene Ermittlung)</t>
  </si>
  <si>
    <r>
      <t>Nutzkältebedarf Q</t>
    </r>
    <r>
      <rPr>
        <vertAlign val="subscript"/>
        <sz val="10"/>
        <color theme="1"/>
        <rFont val="Arial"/>
        <family val="2"/>
      </rPr>
      <t xml:space="preserve">K </t>
    </r>
  </si>
  <si>
    <r>
      <t>CO</t>
    </r>
    <r>
      <rPr>
        <vertAlign val="subscript"/>
        <sz val="10"/>
        <color theme="1"/>
        <rFont val="Arial"/>
        <family val="2"/>
      </rPr>
      <t>2</t>
    </r>
  </si>
  <si>
    <t>Objekttyp / Funktion des Gebäudes</t>
  </si>
  <si>
    <t>Naturnahe Außenflächen</t>
  </si>
  <si>
    <r>
      <t>kg</t>
    </r>
    <r>
      <rPr>
        <vertAlign val="subscript"/>
        <sz val="10"/>
        <color theme="1"/>
        <rFont val="Arial"/>
        <family val="2"/>
      </rPr>
      <t>CO2</t>
    </r>
    <r>
      <rPr>
        <sz val="10"/>
        <color theme="1"/>
        <rFont val="Arial"/>
        <family val="2"/>
      </rPr>
      <t>/(m²a)</t>
    </r>
  </si>
  <si>
    <t>Folien, Fußbodenbeläge und Wandbeläge</t>
  </si>
  <si>
    <t xml:space="preserve">Fenster, Sonnen- und / oder Sichtschutz am Objekt </t>
  </si>
  <si>
    <t>Name des KGA-Prüfers</t>
  </si>
  <si>
    <t>(M) 
0</t>
  </si>
  <si>
    <t>Punkte (gesamt max. 10)</t>
  </si>
  <si>
    <t>Punkte (gesamt max. 75)</t>
  </si>
  <si>
    <t>max. 75</t>
  </si>
  <si>
    <t>Sonnen- und / oder Sichtschutz am Objekt</t>
  </si>
  <si>
    <t>Fenster und Türen / Tore</t>
  </si>
  <si>
    <r>
      <rPr>
        <b/>
        <sz val="10"/>
        <color indexed="8"/>
        <rFont val="Arial"/>
        <family val="2"/>
      </rPr>
      <t>Fassaden aus Produkten ohne biozide Ausrüstungen</t>
    </r>
    <r>
      <rPr>
        <sz val="10"/>
        <color indexed="8"/>
        <rFont val="Arial"/>
        <family val="2"/>
      </rPr>
      <t xml:space="preserve">
Fassadenplatten, Fassadenverkleidungen, Spachtelmassen, Putze, Grundierungen, Farben u.ä.
</t>
    </r>
  </si>
  <si>
    <t>Fenster und Außentüren ohne biozide Ausrüstungen</t>
  </si>
  <si>
    <t>Haustechnik-Konzept</t>
  </si>
  <si>
    <t>Einregulierung</t>
  </si>
  <si>
    <t>Nachweis über den thermischen Komfort im Sommer</t>
  </si>
  <si>
    <t>Ausführung Free-Cooling</t>
  </si>
  <si>
    <t>Kommentierung Haustechnik</t>
  </si>
  <si>
    <t>Konzept für Betrieb &amp; Wartung</t>
  </si>
  <si>
    <t>Artenschutz</t>
  </si>
  <si>
    <t>Artenschutz am Gebäude</t>
  </si>
  <si>
    <t>Erhalt oder Schaffung von Quartieren für gebäudebrütende Wildtiere</t>
  </si>
  <si>
    <t>Arbeitsplätze / Beschäftigte</t>
  </si>
  <si>
    <t>Schüler / Kindergartenkinder</t>
  </si>
  <si>
    <r>
      <t>CO</t>
    </r>
    <r>
      <rPr>
        <vertAlign val="subscript"/>
        <sz val="10"/>
        <color theme="1"/>
        <rFont val="Arial"/>
        <family val="2"/>
      </rPr>
      <t>2;SK</t>
    </r>
    <r>
      <rPr>
        <sz val="10"/>
        <color theme="1"/>
        <rFont val="Arial"/>
        <family val="2"/>
      </rPr>
      <t xml:space="preserve"> gesamt (EAW)</t>
    </r>
  </si>
  <si>
    <r>
      <t>CO</t>
    </r>
    <r>
      <rPr>
        <b/>
        <vertAlign val="subscript"/>
        <sz val="10"/>
        <color theme="1"/>
        <rFont val="Arial"/>
        <family val="2"/>
      </rPr>
      <t>2;SK</t>
    </r>
    <r>
      <rPr>
        <b/>
        <sz val="10"/>
        <color theme="1"/>
        <rFont val="Arial"/>
        <family val="2"/>
      </rPr>
      <t>-Punkte</t>
    </r>
  </si>
  <si>
    <t xml:space="preserve">Fußbodenbeläge und deren Bestandteile (inkl. Sockelleisten), Wandbeläge (Tapeten) </t>
  </si>
  <si>
    <t>Zusatzpunkte bei Ausführung einer passiven Kühlung  (z.B. freie Nachtlüftung, mechanische Lüftungsanlage, adiabate Abluftbefeuchtung, Grundwasserkühlung ohne Kompressionskälte, Solekühlung ohne Kompressionskälte)</t>
  </si>
  <si>
    <t>Wert</t>
  </si>
  <si>
    <r>
      <t>CO</t>
    </r>
    <r>
      <rPr>
        <b/>
        <vertAlign val="subscript"/>
        <sz val="10"/>
        <color theme="1"/>
        <rFont val="Arial"/>
        <family val="2"/>
      </rPr>
      <t>2</t>
    </r>
    <r>
      <rPr>
        <b/>
        <sz val="10"/>
        <color theme="1"/>
        <rFont val="Arial"/>
        <family val="2"/>
      </rPr>
      <t>-Grenzwerte oben</t>
    </r>
  </si>
  <si>
    <r>
      <t>CO</t>
    </r>
    <r>
      <rPr>
        <b/>
        <vertAlign val="subscript"/>
        <sz val="10"/>
        <color theme="1"/>
        <rFont val="Arial"/>
        <family val="2"/>
      </rPr>
      <t>2</t>
    </r>
    <r>
      <rPr>
        <b/>
        <sz val="10"/>
        <color theme="1"/>
        <rFont val="Arial"/>
        <family val="2"/>
      </rPr>
      <t>-Grenzwerte unten</t>
    </r>
  </si>
  <si>
    <t>HWB-Grenzwerte oben</t>
  </si>
  <si>
    <t>HWB-Grenzwerte unten</t>
  </si>
  <si>
    <t>KB-Grenzwerte oben</t>
  </si>
  <si>
    <t>KB-Grenzwerte unten</t>
  </si>
  <si>
    <t>PEB-Grenzwerte oben</t>
  </si>
  <si>
    <t>PEB-Grenzwerte unten</t>
  </si>
  <si>
    <t>Heizwärmebedarf</t>
  </si>
  <si>
    <t>Kühlbedarf</t>
  </si>
  <si>
    <r>
      <t>CO</t>
    </r>
    <r>
      <rPr>
        <vertAlign val="subscript"/>
        <sz val="10"/>
        <color theme="1"/>
        <rFont val="Arial"/>
        <family val="2"/>
      </rPr>
      <t>2</t>
    </r>
    <r>
      <rPr>
        <sz val="10"/>
        <color theme="1"/>
        <rFont val="Arial"/>
        <family val="2"/>
      </rPr>
      <t>-Äquivalente</t>
    </r>
  </si>
  <si>
    <t>LEK-Grenzwert oben</t>
  </si>
  <si>
    <t>LEK-Grenzwert unten</t>
  </si>
  <si>
    <t>Elektromobilität</t>
  </si>
  <si>
    <t xml:space="preserve">Punkte </t>
  </si>
  <si>
    <t>Ladestation mehrspurige Elektrofahrzeuge</t>
  </si>
  <si>
    <t>Lademöglichkeit Elektro-Fahrräder</t>
  </si>
  <si>
    <t>hier:</t>
  </si>
  <si>
    <t>mehr als 3,00 m über dem Fussboden, wobei Reinigung nicht mit Reinigungsstange oder Trittleiter möglich ist</t>
  </si>
  <si>
    <t>max. 6</t>
  </si>
  <si>
    <t>Schmutzfangzonen</t>
  </si>
  <si>
    <t>max. 3</t>
  </si>
  <si>
    <t>max. 2</t>
  </si>
  <si>
    <t>Reinigungs- und Instandhaltungsfreundlichkeit</t>
  </si>
  <si>
    <t>Regenwassernutzung</t>
  </si>
  <si>
    <t>Punkte 
(gesamt max. 10)</t>
  </si>
  <si>
    <r>
      <t xml:space="preserve">Nachweis OIB RL-6; KB* &lt; 0,4 kWh/(m³a) </t>
    </r>
    <r>
      <rPr>
        <i/>
        <u/>
        <sz val="10"/>
        <rFont val="Arial"/>
        <family val="2"/>
      </rPr>
      <t>oder</t>
    </r>
    <r>
      <rPr>
        <sz val="10"/>
        <rFont val="Arial"/>
        <family val="2"/>
      </rPr>
      <t xml:space="preserve"> Nachweis PHPP Überschreitung 26 °C &lt; 1 % (Jahresbetrachtung)</t>
    </r>
  </si>
  <si>
    <t>Bestimmung der maximal zulässigen Übertemperaturgradstunden</t>
  </si>
  <si>
    <t xml:space="preserve">Nutzungsstunden pro Jahr </t>
  </si>
  <si>
    <t>h/a</t>
  </si>
  <si>
    <t>Übertemperaturgradstunden (maximal zulässig)</t>
  </si>
  <si>
    <t>Kh/a</t>
  </si>
  <si>
    <t>Schutz vor Überschwemmungen</t>
  </si>
  <si>
    <t>Vermeidung von Überhitzung</t>
  </si>
  <si>
    <t>Verwendung von Materialien mit hellen Oberflächen und hohem Rückstrahlevermögen</t>
  </si>
  <si>
    <t>Punkte (gesamt Max. 60)</t>
  </si>
  <si>
    <t>Primärenergiebedarf korrigiert</t>
  </si>
  <si>
    <r>
      <t>CO</t>
    </r>
    <r>
      <rPr>
        <vertAlign val="subscript"/>
        <sz val="10"/>
        <color theme="1"/>
        <rFont val="Arial"/>
        <family val="2"/>
      </rPr>
      <t>2</t>
    </r>
    <r>
      <rPr>
        <sz val="10"/>
        <color theme="1"/>
        <rFont val="Arial"/>
        <family val="2"/>
      </rPr>
      <t xml:space="preserve"> korrigiert</t>
    </r>
  </si>
  <si>
    <t>Übertemperaturgradstunden- unterschreitung um 20 %</t>
  </si>
  <si>
    <r>
      <t>Mindest- und Optimalausstattung</t>
    </r>
    <r>
      <rPr>
        <sz val="10"/>
        <rFont val="Arial"/>
        <family val="2"/>
      </rPr>
      <t xml:space="preserve"> (in Abhängkeit von Objektyp, Gemeindekategorie und Ständersystem)</t>
    </r>
  </si>
  <si>
    <r>
      <t xml:space="preserve">Stellplätze
</t>
    </r>
    <r>
      <rPr>
        <sz val="10"/>
        <rFont val="Arial"/>
        <family val="2"/>
      </rPr>
      <t>(aufgerundete Zahlen)</t>
    </r>
  </si>
  <si>
    <r>
      <t>Zugänglichkeit und Reinigbarkeit von innen- und Außenfenstern</t>
    </r>
    <r>
      <rPr>
        <sz val="8"/>
        <rFont val="Arial"/>
        <family val="2"/>
      </rPr>
      <t> </t>
    </r>
  </si>
  <si>
    <t>Dynamische Gebäudesimulation (zumindest für 3 kritische Räume) bei Einhaltung der maximal zulässigen Übertemperaturgradstunden</t>
  </si>
  <si>
    <r>
      <t xml:space="preserve">Dynamische Gebäudesimulation (zumindest für 3 kritische Räume) bei  Unterschreitung der maximal zulässigen Übertemperaturgradstunden um </t>
    </r>
    <r>
      <rPr>
        <b/>
        <sz val="10"/>
        <rFont val="Arial"/>
        <family val="2"/>
      </rPr>
      <t>20 % *</t>
    </r>
  </si>
  <si>
    <t>* Nähere Ausführungen zu den maximal zulässigen Übertemperaturgradstunden in den Erläuterungen zum KGA
  Die Bezugstemperatur beträgt 25 °C
  Bei einer Nutzungszeit von 2860 h/a dürfen maximal 450 Kh/a (Übertemperaturgradstunden) vorliegen. Wird dieser Wert überschritten, ist das Kriterium nicht erfüllt.
  Eine Berechnungshilfe zur Bestimmung der maximal zulässigen Übertemperaturgradstunden befindet sich rechts auf diesem Tabellenblatt.</t>
  </si>
  <si>
    <t xml:space="preserve"> </t>
  </si>
  <si>
    <t>Voraussetzung: Nutzung von Ökostrom oder eigenem PV-Strom</t>
  </si>
  <si>
    <r>
      <t>Kommentierung Haustechnik-Schemata und Raumbücher (Heizung &amp; Lüftung) mit energetisch relevanten Auslegungsdaten,</t>
    </r>
    <r>
      <rPr>
        <b/>
        <sz val="10"/>
        <color rgb="FF000000"/>
        <rFont val="Arial"/>
        <family val="2"/>
      </rPr>
      <t xml:space="preserve"> i.d.R. vor der Baueingabe aber jedenfalls vor Ausschreibung der Gebäudetechnik,</t>
    </r>
    <r>
      <rPr>
        <sz val="10"/>
        <color rgb="FF000000"/>
        <rFont val="Arial"/>
        <family val="2"/>
      </rPr>
      <t xml:space="preserve"> du</t>
    </r>
    <r>
      <rPr>
        <sz val="10"/>
        <color indexed="8"/>
        <rFont val="Arial"/>
        <family val="2"/>
      </rPr>
      <t xml:space="preserve">rch externe, fachkundige Personen </t>
    </r>
    <r>
      <rPr>
        <vertAlign val="superscript"/>
        <sz val="10"/>
        <color indexed="8"/>
        <rFont val="Arial"/>
        <family val="2"/>
      </rPr>
      <t>1)</t>
    </r>
  </si>
  <si>
    <t>OI3-Wert Max.</t>
  </si>
  <si>
    <t>OI3-Wert Min.</t>
  </si>
  <si>
    <t>EI10-Wert Max.</t>
  </si>
  <si>
    <t>EI10-Wert Min.</t>
  </si>
  <si>
    <t>Realisierte Stellplätze mehrspurig</t>
  </si>
  <si>
    <t>Mind. 1 Wallbox, bei über 10 Stellplätzen eine weitere Wallbox pro angefangene 10 Stellplätze</t>
  </si>
  <si>
    <t>Pro angefangene 20 Abstellplätze für Fahrräder mindestens eine Lademöglichkeit vorhanden</t>
  </si>
  <si>
    <r>
      <t xml:space="preserve">Vorlage eines unterfertigten Einregulierungsprotokolls für Heizung und Lüftung (Mindestangabe: Volumenströme je Ventil und Strang inkl. Dokumentation der Einstellwerte) - </t>
    </r>
    <r>
      <rPr>
        <i/>
        <sz val="10"/>
        <color rgb="FFFF0000"/>
        <rFont val="Arial"/>
        <family val="2"/>
      </rPr>
      <t>MUSSKRITERIUM</t>
    </r>
  </si>
  <si>
    <t xml:space="preserve">Nachweis ÖNORM B 8110-3 : 2020 Einhaltung mind. Komfortklasse B für alle kritischen Räume und Glasanteil der vertikalen Fassade des Gebäudes &lt;= 35% </t>
  </si>
  <si>
    <t>Anbindung der Dachfläche der Hauptgebäude an eine Regenwasserzisterne. Dimensionierung: Bevorhaltung des Bedarfs von mind. 2 Wochen (30l pro WC / 10l pro Urinal pro Nutzungstag) oder Dimensionierung nach anschließbarer Dachfläche (40l pro m²)</t>
  </si>
  <si>
    <t>Der KGA-Prüfer bestätigt mit nachstehenden Erklärungen, dass
- die Erstelllung des Kommunalgebäudeausweises mit den erzielten Bewertungspunkten nach fachlich bestem Wissen und Gewissen durchgeführt wurde
- sofern alle für die Ausstellung erforderlichen Unterlagen korrekt  und vollständig übermittelt wurden, ein Prüfer/Aussteller nicht in den Planungs- und Ausführungsprozess des Bauvorhabens eingebunden war und überdies hierfür keinerlei Honorare erhalten hat
- dem KGA-Prüfer bewusst ist, dass,  falls sich nachträglich herausstellt, dass die Bewertungspunkte nicht stimmen sollten, es zu einer Kürzung des Fördersatzes und der maximal anerkennbaren Kosten für die Gemeinde kommen kann.</t>
  </si>
  <si>
    <t>Sämtliche Dichtstoffe, inkl. Nassversiegelung von Fenstern</t>
  </si>
  <si>
    <t>Vermeidung von nicht zukunftsfähigen Kältemittel</t>
  </si>
  <si>
    <t>Einsatz von bereits verwendeter Bauprodukte und Bauteile bei tragenden Elementen</t>
  </si>
  <si>
    <t>Einsatz von bereits verwendeter Bauprodukte und Bauteile bei nicht tragenden Elementen</t>
  </si>
  <si>
    <t>Abstand von überdachten Abstellanlagen &gt; 30 m</t>
  </si>
  <si>
    <t>Anbindung der Dachfläche der Hauptgebäude an eine Regenwasserzisterne. Dimensionierung: Bevorhaltung des Bedarfs von mind. 2 Wochen (40l pro m² zu bewässernde Außenfläche) oder nach anschließbarer Dachfläche (40l pro m²)</t>
  </si>
  <si>
    <t>Wasser-, Abwasser- sowie Zu- und Abluftrohre im (Projekt bis Kanalschluss)</t>
  </si>
  <si>
    <t>M</t>
  </si>
  <si>
    <t>Bei Erreichbarkeit maximal 3 m über dem Fußboden oder eines Reinigungsgangs für mind. jeweils 70% der Innen- und Außenglasflächen</t>
  </si>
  <si>
    <t>Bei Erreichbarkeit über 3 m über dem Fußboden oder eines Reinigungsgangs und  mit Reinigungsstange reinigbar für mind. jeweils 70% der Innen- und Außenglasflächen</t>
  </si>
  <si>
    <t>Mit HVH Nachweis oder gleichwertig (Nachweisliche Einhaltung HVH Kriterien)</t>
  </si>
  <si>
    <t>Konzept für den Betrieb und Wartung der technischen Anlagen mit Regel- und Messkonzept (Lastenheft) inkl. Einschulung der relevanten Personen (Bestätigung). Das Konzept soll hierbei die schalttechnischen Zusammenhänge ebenso beschreiben wie die getroffenen Einstellungen. Die eingeschulte Person sollte in regelmäßigen Abständen die Verbrauchszähler ablesen (evt. einsehbar über die GLT) und dokumentieren, damit etwaige Überverbräuche festgestellt und bei Bedarf die Einstellungen hin zu einem niedrigen Energieverbrauch optimiert werden können.</t>
  </si>
  <si>
    <r>
      <t xml:space="preserve">1) der rollierende Austausch mit externen, fachkundigen Personen zählen in diesem Zusammenhang Fachpersonen (Ingenieure der Gebäudetechnik, Versorgungstechnik, Heizungs- und Lüftungstechnik, Energieingenieurwesen (Schwerpunkt Gebäude), Technischen Gebäudeausrüstung </t>
    </r>
    <r>
      <rPr>
        <i/>
        <u/>
        <sz val="10"/>
        <rFont val="Arial"/>
        <family val="2"/>
      </rPr>
      <t>oder</t>
    </r>
    <r>
      <rPr>
        <sz val="10"/>
        <rFont val="Arial"/>
        <family val="2"/>
      </rPr>
      <t xml:space="preserve"> HTL-Absolventen mit Schwerpunkt Technische Gebäudeausrüstung </t>
    </r>
    <r>
      <rPr>
        <i/>
        <u/>
        <sz val="10"/>
        <rFont val="Arial"/>
        <family val="2"/>
      </rPr>
      <t>oder</t>
    </r>
    <r>
      <rPr>
        <sz val="10"/>
        <rFont val="Arial"/>
        <family val="2"/>
      </rPr>
      <t xml:space="preserve"> Meister der Heizungs- und Lüftungstechnik </t>
    </r>
    <r>
      <rPr>
        <i/>
        <u/>
        <sz val="10"/>
        <rFont val="Arial"/>
        <family val="2"/>
      </rPr>
      <t>oder</t>
    </r>
    <r>
      <rPr>
        <sz val="10"/>
        <rFont val="Arial"/>
        <family val="2"/>
      </rPr>
      <t xml:space="preserve"> Mitarbeiter in HSL-Planungsbüros mit mind. 5 Jahren Berufserfahrung. Diese externe Personen dürfen hierbei nicht im selben Planungsbüro arbeiten, welches mit der Anlagenplanung beauftragt ist.</t>
    </r>
  </si>
  <si>
    <t>Nebenrechnung:</t>
  </si>
  <si>
    <t>Auswahl Dimensionierungsart</t>
  </si>
  <si>
    <t>Nutzungstage Gebäude pro Woche</t>
  </si>
  <si>
    <t>Anzahl WC's</t>
  </si>
  <si>
    <t>Anzahl Urinale</t>
  </si>
  <si>
    <t>Zu bewässernde Außenanlagen (m²)</t>
  </si>
  <si>
    <t>Anschließbare Dachfläche (m²)</t>
  </si>
  <si>
    <t>Dimensionierung der Zisterne (l)</t>
  </si>
  <si>
    <t>Dachfläche</t>
  </si>
  <si>
    <t>Gesamtvolumen [in m³]</t>
  </si>
  <si>
    <t>Baustoffe mit erheblichem Recyclinganteil [in m³]</t>
  </si>
  <si>
    <t xml:space="preserve">Recyclinganteil </t>
  </si>
  <si>
    <t>55 Punkte</t>
  </si>
  <si>
    <t>Dokumentation zur ökologischen Bauteiloptimierung im Rahmen der Planungsphase vorhanden</t>
  </si>
  <si>
    <t>Nebenrechnung</t>
  </si>
  <si>
    <r>
      <t>Punkte EI10</t>
    </r>
    <r>
      <rPr>
        <sz val="12"/>
        <rFont val="Arial"/>
        <family val="2"/>
      </rPr>
      <t xml:space="preserve"> (max. 55 Punkte)</t>
    </r>
  </si>
  <si>
    <t>Heizwärmebedarf Neubau</t>
  </si>
  <si>
    <r>
      <t>LEK</t>
    </r>
    <r>
      <rPr>
        <vertAlign val="subscript"/>
        <sz val="11"/>
        <color theme="1"/>
        <rFont val="Arial"/>
        <family val="2"/>
      </rPr>
      <t xml:space="preserve">T </t>
    </r>
    <r>
      <rPr>
        <sz val="11"/>
        <color theme="1"/>
        <rFont val="Arial"/>
        <family val="2"/>
      </rPr>
      <t>Neubau</t>
    </r>
  </si>
  <si>
    <t>Kühlbedarf Neubau</t>
  </si>
  <si>
    <t>Primärenergiebedarf Neubau</t>
  </si>
  <si>
    <r>
      <t>CO</t>
    </r>
    <r>
      <rPr>
        <vertAlign val="subscript"/>
        <sz val="10"/>
        <color theme="1"/>
        <rFont val="Arial"/>
        <family val="2"/>
      </rPr>
      <t>2</t>
    </r>
    <r>
      <rPr>
        <sz val="10"/>
        <color theme="1"/>
        <rFont val="Arial"/>
        <family val="2"/>
      </rPr>
      <t>-Äquivalente Neubau</t>
    </r>
  </si>
  <si>
    <t>Heizwärmebedarf Sanierung</t>
  </si>
  <si>
    <r>
      <t>LEK</t>
    </r>
    <r>
      <rPr>
        <vertAlign val="subscript"/>
        <sz val="11"/>
        <color theme="1"/>
        <rFont val="Arial"/>
        <family val="2"/>
      </rPr>
      <t xml:space="preserve">T </t>
    </r>
    <r>
      <rPr>
        <sz val="11"/>
        <color theme="1"/>
        <rFont val="Arial"/>
        <family val="2"/>
      </rPr>
      <t>Sanierung</t>
    </r>
  </si>
  <si>
    <t>Kühlbedarf Sanierung</t>
  </si>
  <si>
    <t>Primärenergiebedarf Sanierung</t>
  </si>
  <si>
    <r>
      <t>CO</t>
    </r>
    <r>
      <rPr>
        <vertAlign val="subscript"/>
        <sz val="10"/>
        <color theme="1"/>
        <rFont val="Arial"/>
        <family val="2"/>
      </rPr>
      <t>2</t>
    </r>
    <r>
      <rPr>
        <sz val="10"/>
        <color theme="1"/>
        <rFont val="Arial"/>
        <family val="2"/>
      </rPr>
      <t>-Äquivalente Sanierung</t>
    </r>
  </si>
  <si>
    <t>und Radständer finden sich in den Erläuterungen.</t>
  </si>
  <si>
    <t>Nachhaltigkeitsanforderungen in Planung, Prozess und Umsetzung</t>
  </si>
  <si>
    <t>Energieverbrauch im Betrieb</t>
  </si>
  <si>
    <r>
      <t>Vereinfachte Berechnung Wirtschaftlichkeit (inkl. CO</t>
    </r>
    <r>
      <rPr>
        <b/>
        <vertAlign val="subscript"/>
        <sz val="10"/>
        <rFont val="Arial"/>
        <family val="2"/>
      </rPr>
      <t>2</t>
    </r>
    <r>
      <rPr>
        <b/>
        <sz val="10"/>
        <rFont val="Arial"/>
        <family val="2"/>
      </rPr>
      <t>-Folgekosten)</t>
    </r>
  </si>
  <si>
    <t>2.</t>
  </si>
  <si>
    <t>Netzdienliche Stromspeicherung</t>
  </si>
  <si>
    <t>Differenzierte Verbrauchserfassung</t>
  </si>
  <si>
    <t>Maßnahme zur Sicherstellung komfortabler Raumfeuchte</t>
  </si>
  <si>
    <t>Punkte 
(gesamt max. 40)</t>
  </si>
  <si>
    <t>Feuchteabhängiges Absenken der Volumenströme ohne aktive Befeuchtung im Winter
Feuchterückgewinnung ohne aktive Befeuchtung im Winter</t>
  </si>
  <si>
    <t>3
10</t>
  </si>
  <si>
    <t>A.</t>
  </si>
  <si>
    <t>B.</t>
  </si>
  <si>
    <t>Einsatz bereits verwendeter Bauprodukte</t>
  </si>
  <si>
    <t>Regonale Holzwirtschaft</t>
  </si>
  <si>
    <r>
      <t xml:space="preserve">Ein Vergleich der tatsächlichen Verbräuche mit den vorausberechneten Bedarfswerten als Grundlage für eine eventuelle Nachjustierung muss möglich sein (Ausgefülltes Formblatt) - </t>
    </r>
    <r>
      <rPr>
        <i/>
        <sz val="10"/>
        <color rgb="FFFF0000"/>
        <rFont val="Arial"/>
        <family val="2"/>
      </rPr>
      <t>MUSSKRITERIUM</t>
    </r>
  </si>
  <si>
    <t>Netztdienliche Sromspeicherung</t>
  </si>
  <si>
    <r>
      <t>B2 Energieverbrauch im Betrieb (Heizwärmebedarf HWB</t>
    </r>
    <r>
      <rPr>
        <b/>
        <vertAlign val="subscript"/>
        <sz val="12"/>
        <rFont val="Arial"/>
        <family val="2"/>
      </rPr>
      <t>SK</t>
    </r>
    <r>
      <rPr>
        <b/>
        <sz val="12"/>
        <rFont val="Arial"/>
        <family val="2"/>
      </rPr>
      <t>, Primärenergiebedarf und Emissionen CO</t>
    </r>
    <r>
      <rPr>
        <b/>
        <vertAlign val="subscript"/>
        <sz val="11"/>
        <rFont val="Arial"/>
        <family val="2"/>
      </rPr>
      <t>2</t>
    </r>
    <r>
      <rPr>
        <b/>
        <sz val="12"/>
        <rFont val="Arial"/>
        <family val="2"/>
      </rPr>
      <t>-Äquivalente nach OIB RL 6 2025)</t>
    </r>
  </si>
  <si>
    <t>B1 Energieverbrauch im Betrieb (Nachweis nach PHPP)</t>
  </si>
  <si>
    <t xml:space="preserve">C.2 Messung Raumluftqualität </t>
  </si>
  <si>
    <t>C.1 Thermischer Komfort im Sommer</t>
  </si>
  <si>
    <t>Festlegung von Nachhaltigkeitsstandards in Planungsvergaben</t>
  </si>
  <si>
    <r>
      <t xml:space="preserve">Kommunalgebäudeausweis Vorarlberg - Neubau/Sanierung </t>
    </r>
    <r>
      <rPr>
        <b/>
        <sz val="11"/>
        <color rgb="FF000000"/>
        <rFont val="Arial"/>
        <family val="2"/>
      </rPr>
      <t xml:space="preserve">- Version 2026-1
</t>
    </r>
    <r>
      <rPr>
        <b/>
        <sz val="12"/>
        <color rgb="FF000000"/>
        <rFont val="Arial"/>
        <family val="2"/>
      </rPr>
      <t>gemäß den Bestimmungen der Richtlinie der Vorarlberger Landesregierung 
zur Gewährung von Bedarfszuweisungsmittel, 2026</t>
    </r>
  </si>
  <si>
    <t>A.3.1 Bauökologie in Planung, Ausschreibung und Ausführung</t>
  </si>
  <si>
    <t>A.3.2 Vermeidung kritischer Soffe und Förderung regionaler Holzwirtschaft</t>
  </si>
  <si>
    <t xml:space="preserve">Beim Einsatz von nachweislich regionalem Holz (Nachweis über „Holz-von-Hier“ Zertifikate oder nachweislich Einhaltung aller „Holz-von-Hier“ Kriterien) werden folgende Punkte vergeben. 
</t>
  </si>
  <si>
    <r>
      <t xml:space="preserve">Ökobaukriterien </t>
    </r>
    <r>
      <rPr>
        <b/>
        <u/>
        <sz val="10"/>
        <rFont val="Arial"/>
        <family val="2"/>
      </rPr>
      <t>mit</t>
    </r>
    <r>
      <rPr>
        <b/>
        <sz val="10"/>
        <rFont val="Arial"/>
        <family val="2"/>
      </rPr>
      <t xml:space="preserve"> PD</t>
    </r>
  </si>
  <si>
    <r>
      <t xml:space="preserve">NaBe </t>
    </r>
    <r>
      <rPr>
        <b/>
        <u/>
        <sz val="10"/>
        <rFont val="Arial"/>
        <family val="2"/>
      </rPr>
      <t>mit</t>
    </r>
    <r>
      <rPr>
        <b/>
        <sz val="10"/>
        <rFont val="Arial"/>
        <family val="2"/>
      </rPr>
      <t xml:space="preserve"> PD</t>
    </r>
  </si>
  <si>
    <r>
      <t xml:space="preserve">Nabe </t>
    </r>
    <r>
      <rPr>
        <b/>
        <u/>
        <sz val="10"/>
        <rFont val="Arial"/>
        <family val="2"/>
      </rPr>
      <t>ohne</t>
    </r>
    <r>
      <rPr>
        <b/>
        <sz val="10"/>
        <rFont val="Arial"/>
        <family val="2"/>
      </rPr>
      <t xml:space="preserve"> PD</t>
    </r>
  </si>
  <si>
    <t>Punkte (gesamt max. 90)</t>
  </si>
  <si>
    <t>A.3.3 Zirkuläres Bauen</t>
  </si>
  <si>
    <t>Punkte (gesamt max. 30)</t>
  </si>
  <si>
    <t>Max. 175</t>
  </si>
  <si>
    <t xml:space="preserve"> Wichtig: 50% der Stellplätze müssen überdacht sein!</t>
  </si>
  <si>
    <t>A.4 Naturnahes Bauen und Klimawandelanpassung</t>
  </si>
  <si>
    <t>A.5 Fahrradabstellplätze und Elektromobilität (max. 30 Punkte)</t>
  </si>
  <si>
    <t>A.6 Haustechnik-Konzept</t>
  </si>
  <si>
    <t>A.7 Reinigungs- und Instandhaltungsfreundlichkeit</t>
  </si>
  <si>
    <t>A.8 Regenwassernutzung</t>
  </si>
  <si>
    <t>1,0 - 3,0 kWh-Speicher-Nennkapazität pro installierter kWp</t>
  </si>
  <si>
    <t>Ab 3,0 kWh-Speicher-Nennkapazität pro installierter kWp</t>
  </si>
  <si>
    <t>B3 Netzdienliche Stromspeicherung</t>
  </si>
  <si>
    <r>
      <t xml:space="preserve">Punkte OI3 </t>
    </r>
    <r>
      <rPr>
        <sz val="12"/>
        <rFont val="Arial"/>
        <family val="2"/>
      </rPr>
      <t>(max. 120 Punkte)</t>
    </r>
  </si>
  <si>
    <r>
      <t xml:space="preserve">Summe Punkte Gesamt </t>
    </r>
    <r>
      <rPr>
        <sz val="12"/>
        <rFont val="Arial"/>
        <family val="2"/>
      </rPr>
      <t>(max. 175 Punkte)</t>
    </r>
  </si>
  <si>
    <t>Nachweis gem. OIB RL 6</t>
  </si>
  <si>
    <t>C.</t>
  </si>
  <si>
    <t>D.</t>
  </si>
  <si>
    <t>Komfort und Raumluftqualität</t>
  </si>
  <si>
    <t>Naturnahes Bauen und Klimafolgenanpassung</t>
  </si>
  <si>
    <t>max. 30</t>
  </si>
  <si>
    <t>Naturnah gestaltete Sickerbecken, Mulden oder Gerinne zur temporären Wasserrückhaltung. 10 % der versiegelten und teilversiegelten Außenfläche wird oberirdisch zurückgehalten oder versickert</t>
  </si>
  <si>
    <t>Naturnahe Dachbegrünung</t>
  </si>
  <si>
    <t>Substrat aus lokalen Materialien mind. 10 Vol%</t>
  </si>
  <si>
    <t>Sonderstrukturen auf 3 % der Begrünungsflächen</t>
  </si>
  <si>
    <t>Kombination der Dachbegrünung mit einer PV-Anlage nach ÖNORM L 1131 Beiblatt Solargründächer</t>
  </si>
  <si>
    <t>Insektenfreundliche Lichtgestaltung (Licht nur nach unten, max. 3000 K)</t>
  </si>
  <si>
    <t>Grün und Freiflächenfaktor (GFF)</t>
  </si>
  <si>
    <t>Das Ausmaß von Begrünungen wird mit dem sogenannten Grün- und Freiflächenfaktor (GFF) gewichtet, 
der Grünflächen und Begrünungen den versiegelten Flächen eines Bauprojekts gegenüberstellt.</t>
  </si>
  <si>
    <t>Bepunktung nach untenstehenden Werten</t>
  </si>
  <si>
    <t>GFF = 0,5</t>
  </si>
  <si>
    <t>GFF = 0,6</t>
  </si>
  <si>
    <t>GFF = 0,7</t>
  </si>
  <si>
    <t>GFF = 0,8</t>
  </si>
  <si>
    <t>Nebenrechnung Grün- und Freiflächenfaktor</t>
  </si>
  <si>
    <t>Gesamtpunkteanzahl Kriterium A.3</t>
  </si>
  <si>
    <t>A.3 Produktmanagement - Einsatz regionaler, schadstoff- und emissionsarmer Bauprodukte und Konstruktionen</t>
  </si>
  <si>
    <r>
      <t xml:space="preserve">Realisierte Stellplätze </t>
    </r>
    <r>
      <rPr>
        <u/>
        <sz val="10"/>
        <rFont val="Arial"/>
        <family val="2"/>
      </rPr>
      <t>überdacht</t>
    </r>
  </si>
  <si>
    <r>
      <t xml:space="preserve">Realisierte Stellplätze </t>
    </r>
    <r>
      <rPr>
        <u/>
        <sz val="10"/>
        <rFont val="Arial"/>
        <family val="2"/>
      </rPr>
      <t>nicht überdacht</t>
    </r>
  </si>
  <si>
    <t>Stellplätze gesamt</t>
  </si>
  <si>
    <t>Grundsätzliche Angaben</t>
  </si>
  <si>
    <t>Elementform</t>
  </si>
  <si>
    <t>Flächenfaktor</t>
  </si>
  <si>
    <t>Erschließungsflächen, Plätze und versiegelte Flächen</t>
  </si>
  <si>
    <t>Freiflächen mit Vegetation</t>
  </si>
  <si>
    <t>Über natürlich gewachsenem Boden</t>
  </si>
  <si>
    <t>Auf unterbauten Flächen &gt; 150 cm Schüttungshöhe</t>
  </si>
  <si>
    <t>Auf unterbauten Flächen &lt; 150 cm Schüttungshöhe</t>
  </si>
  <si>
    <t>Wasserflächen</t>
  </si>
  <si>
    <t>Künstliches Becken/technisches Wasser</t>
  </si>
  <si>
    <t>Naturnaher Teich/Wasserfläche</t>
  </si>
  <si>
    <t>Fassadenbegrünung</t>
  </si>
  <si>
    <t>Bodengebundene Fassadenbegrünung</t>
  </si>
  <si>
    <t>Troggebundene Fassadenbegrünung</t>
  </si>
  <si>
    <t>Fassadengebundene modulare bzw. vollflächige Vegetationsträger</t>
  </si>
  <si>
    <t>Dachflächen und Dachbegrünung</t>
  </si>
  <si>
    <t xml:space="preserve">Extensivbegrünung, im Durchschnitt 10-14 cm Vegetationstragschicht oder PV-Grün Kombination mit 8 cm Vegetationstragschicht 
(ÖNORM L1131 / ÖNORM L1131 Beiblatt Solargründächer / FLL Dachbegrünungsrichtlinien) </t>
  </si>
  <si>
    <t>Bonuselemente</t>
  </si>
  <si>
    <t>Begrünte Pergolen</t>
  </si>
  <si>
    <t>Freistehende grüne Wände</t>
  </si>
  <si>
    <t>Verholzende Vegetation</t>
  </si>
  <si>
    <t>Anzahl Bäume</t>
  </si>
  <si>
    <t>Ergebnis Naturhaushaltswirksame Fläche</t>
  </si>
  <si>
    <t>NHW</t>
  </si>
  <si>
    <t>Ergebnis Grün und Freiflähenindikator (NHW/Grundstücksfläche)</t>
  </si>
  <si>
    <t>GFF</t>
  </si>
  <si>
    <t>GFF = 0,4</t>
  </si>
  <si>
    <t>Angaben zu den Radabstellplätzen</t>
  </si>
  <si>
    <r>
      <t>LEK</t>
    </r>
    <r>
      <rPr>
        <b/>
        <vertAlign val="subscript"/>
        <sz val="10"/>
        <rFont val="Arial"/>
        <family val="2"/>
      </rPr>
      <t>T</t>
    </r>
    <r>
      <rPr>
        <b/>
        <sz val="10"/>
        <rFont val="Arial"/>
        <family val="2"/>
      </rPr>
      <t xml:space="preserve"> Wert</t>
    </r>
  </si>
  <si>
    <t>Entsorgungsindikator (EI10) des Gebäudes</t>
  </si>
  <si>
    <r>
      <rPr>
        <b/>
        <sz val="10"/>
        <rFont val="Arial"/>
        <family val="2"/>
      </rPr>
      <t>Entsorgungsindikator EI10 (</t>
    </r>
    <r>
      <rPr>
        <sz val="10"/>
        <rFont val="Arial"/>
        <family val="2"/>
      </rPr>
      <t>Bilanzgrenze BG3)</t>
    </r>
  </si>
  <si>
    <t>Ökologische Kennwerte des Gebäudes (OI3, GWP-total)</t>
  </si>
  <si>
    <t>D.2 Entsorgungsindikator (EI10) des Gebäudes</t>
  </si>
  <si>
    <r>
      <t xml:space="preserve">Punkte GWP-total </t>
    </r>
    <r>
      <rPr>
        <sz val="12"/>
        <rFont val="Arial"/>
        <family val="2"/>
      </rPr>
      <t>(max. 55 Punkte)</t>
    </r>
  </si>
  <si>
    <r>
      <t>D.1 Ökologische Kennwerte des Gebäudes (OI3</t>
    </r>
    <r>
      <rPr>
        <b/>
        <vertAlign val="subscript"/>
        <sz val="9"/>
        <rFont val="Arial"/>
        <family val="2"/>
      </rPr>
      <t>BG3, BZF</t>
    </r>
    <r>
      <rPr>
        <b/>
        <sz val="12"/>
        <rFont val="Arial"/>
        <family val="2"/>
      </rPr>
      <t xml:space="preserve"> und GWP-total) </t>
    </r>
  </si>
  <si>
    <r>
      <rPr>
        <b/>
        <sz val="22"/>
        <rFont val="Arial"/>
        <family val="2"/>
      </rPr>
      <t xml:space="preserve">Kommunalgebäudeausweis Vorarlberg - Neubau/Generalsanierung - </t>
    </r>
    <r>
      <rPr>
        <b/>
        <sz val="11"/>
        <rFont val="Arial"/>
        <family val="2"/>
      </rPr>
      <t>Version 2026-1</t>
    </r>
    <r>
      <rPr>
        <b/>
        <sz val="22"/>
        <rFont val="Arial"/>
        <family val="2"/>
      </rPr>
      <t xml:space="preserve">
</t>
    </r>
    <r>
      <rPr>
        <b/>
        <sz val="12"/>
        <rFont val="Arial"/>
        <family val="2"/>
      </rPr>
      <t>gemäß den Bestimmungen der Richtlinie der Vorarlberger Landesregierung 
zur Gewährung von Bedarfszuweisungsmittel, 2026
Gemeindeamtsgebäude, Pflichtschulen inkl. Mehrzweck- und Turnhallen, Kultursäle, Pflegeheime, Kindergärten, Kinderbetreuungseinrichtungen</t>
    </r>
  </si>
  <si>
    <t>Benennung einer ökologischen Fachbauaufsicht durch Bauherrn (max. 3 Gewerke nicht erfasst)</t>
  </si>
  <si>
    <t>Pflanzung oder Erhalt von drei verschiedenen heimischen Sträuchern in ihrer Wildform (keine züchterische Form, keine Sorte, kein Formschnitt)</t>
  </si>
  <si>
    <t>A.4.1 Fachberatung</t>
  </si>
  <si>
    <t>A.4.2 Biodiversität</t>
  </si>
  <si>
    <t>A.4.3 Klimawandelanpassung</t>
  </si>
  <si>
    <r>
      <rPr>
        <b/>
        <sz val="10"/>
        <rFont val="Arial"/>
        <family val="2"/>
      </rPr>
      <t>OI3</t>
    </r>
    <r>
      <rPr>
        <b/>
        <vertAlign val="subscript"/>
        <sz val="10"/>
        <rFont val="Arial"/>
        <family val="2"/>
      </rPr>
      <t>BG3, BZF</t>
    </r>
    <r>
      <rPr>
        <sz val="10"/>
        <rFont val="Arial"/>
        <family val="2"/>
      </rPr>
      <t xml:space="preserve"> (Bilanzgrenze BG3)</t>
    </r>
  </si>
  <si>
    <t>Vermeidung von Bodenbeschichtungen auf PU/Epoxidharzbasis</t>
  </si>
  <si>
    <t>GWP Total Max. CO2 equ. / m² BZF</t>
  </si>
  <si>
    <t>GWP Total Min. CO2 equ. / m² BZF</t>
  </si>
  <si>
    <t>Produktmanagement</t>
  </si>
  <si>
    <t>Energiekennwert Heizwärme</t>
  </si>
  <si>
    <t>Energiekennwert Kühlbedarf</t>
  </si>
  <si>
    <t>Primärenergiekennwert</t>
  </si>
  <si>
    <r>
      <t>Emissionen CO</t>
    </r>
    <r>
      <rPr>
        <b/>
        <vertAlign val="subscript"/>
        <sz val="10"/>
        <rFont val="Arial"/>
        <family val="2"/>
      </rPr>
      <t>2</t>
    </r>
    <r>
      <rPr>
        <b/>
        <sz val="10"/>
        <rFont val="Arial"/>
        <family val="2"/>
      </rPr>
      <t>-Äquivalente</t>
    </r>
  </si>
  <si>
    <t>Fachberatung für eine naturnahe und naturverträgliche Gebäude- und Außengestaltung durch eine nicht mit der Freiraumplanung beauftragten Person</t>
  </si>
  <si>
    <t>Pflanzung oder Erhalt von mind. 2 heimischen (mind. 50 % der gesetzten Bäume) bzw. europäischen (max. 50 % der gesetzten Bäume) Bäumen. Keine invasiven Neophyten und keine außereuropäische Art.</t>
  </si>
  <si>
    <t>Artenreiche Wiese, mehrjährige Blühfläche ≥ 25 % der Außenfläche, Einzelfläche ≥ 10 m²</t>
  </si>
  <si>
    <t>Artenreiche Wiese, mehrjährige Blühfläche ≥ 10 % der Außenfläche, Einzelfläche ≥ 10 m²</t>
  </si>
  <si>
    <t>Einsatz reflexionsarmer Verglasung (&lt; 15 %) für alle Glasflächen &lt; 3 m² und 
fachgerechte Bewertung der Gefahrenbereiche durch eine Fachperson; bei hohem Risiko ggf. Einsatz von Vogelschutzglas (Klasse A)</t>
  </si>
  <si>
    <r>
      <rPr>
        <b/>
        <sz val="10"/>
        <rFont val="Arial"/>
        <family val="2"/>
      </rPr>
      <t>GWP-total</t>
    </r>
    <r>
      <rPr>
        <sz val="10"/>
        <rFont val="Arial"/>
        <family val="2"/>
      </rPr>
      <t xml:space="preserve"> CO</t>
    </r>
    <r>
      <rPr>
        <vertAlign val="subscript"/>
        <sz val="10"/>
        <rFont val="Arial"/>
        <family val="2"/>
      </rPr>
      <t>2</t>
    </r>
    <r>
      <rPr>
        <sz val="10"/>
        <rFont val="Arial"/>
        <family val="2"/>
      </rPr>
      <t xml:space="preserve"> equ. / m² BZF</t>
    </r>
  </si>
  <si>
    <t>Bodenbündig eingebaute Gitterroste, Kunststoff- oder Naturfasermatten vor oder hinter den Eingangszonen</t>
  </si>
  <si>
    <t>Schutz der Wandbereiche durch Sockelleisten, austauschbare Wandvertäfelungen oder wischbare Wandfarbe, um Verschmutzung und Beschädigung bei der Reinigung zu vermeiden. Sichtbeton gilt als wischbar.</t>
  </si>
  <si>
    <t>Punkte (gesamt max. 70)</t>
  </si>
  <si>
    <t>Erreichte Punkte Fahrradabstellplätze (max. 20 Punkte)</t>
  </si>
  <si>
    <t>Gesamtpunkte Fahrradabstellplätze und Elektromobilität (max. 30 Punkte)</t>
  </si>
  <si>
    <t>Kupfer- und Zinkprodukte im bewitterten Außenbereich (Fassade, Dach, Dacheindeckungen, Regenrinnen, Fallrohre, Kamine, Dachabdichtungen, Fassadenelemente, Verkleidungen) werden vermieden</t>
  </si>
  <si>
    <r>
      <rPr>
        <b/>
        <sz val="10"/>
        <rFont val="Arial"/>
        <family val="2"/>
      </rPr>
      <t>Fassade</t>
    </r>
    <r>
      <rPr>
        <sz val="10"/>
        <rFont val="Arial"/>
        <family val="2"/>
      </rPr>
      <t xml:space="preserve"> (&gt; 50 % der Fassadenfläche)</t>
    </r>
  </si>
  <si>
    <r>
      <t xml:space="preserve">Fenster </t>
    </r>
    <r>
      <rPr>
        <sz val="10"/>
        <rFont val="Arial"/>
        <family val="2"/>
      </rPr>
      <t>mind. 80 % aus entsprechendem Holz und 100 % der Fenster PVC-frei</t>
    </r>
  </si>
  <si>
    <t xml:space="preserve">1. Ökologische Bauteiloptimierung </t>
  </si>
  <si>
    <t>2. Verankerung ökologischer Kriterien in Ausschreibungen und Bauausführung</t>
  </si>
  <si>
    <t xml:space="preserve">Für alle relevanten Gewerke, die mit ökologischen Kriterien ausgeschrieben wurden, wurden die eingesetzten Bauprodukte in PD-Listen deklariert. Alle in den PD-Listen angeführten Bauprodukte wurden auf Konformität zu den laut Ausschreibung einzuhaltenden ökologischen Kriterien überprüft (Konformitätsprüfung). Für jedes relevante Gewerk, für welches keine PD-Liste vorliegt werden 10 Punkte abgezogen.
Wenn keine Produktdeklaration mit Konformitätsprüfung beauftragt wird, dann ist die Einhaltung der ökologischen Kriterien durch die beauftragten ausführenden Unternehmen nach der Bauausführung schriftlich zu bestätigen.
Die Qualitätssicherung der Produktdeklaration und Konformitätsprüfung inkludiert wiederholte Baustellenbegehungen durch den Konformitätsprüfer während der Bauphase.
</t>
  </si>
  <si>
    <r>
      <t xml:space="preserve">3. Ökologische Bauaufsicht </t>
    </r>
    <r>
      <rPr>
        <sz val="12"/>
        <rFont val="Arial"/>
        <family val="2"/>
      </rPr>
      <t>(Punktevergabe nur möglich, wenn eine Produktdeklaration durchgeführt wurde)</t>
    </r>
  </si>
  <si>
    <t>Vermeidung von Kupfer und Zink im bewitterten Außenbereich</t>
  </si>
  <si>
    <t>Vermeidung biozider Ausrüstung</t>
  </si>
  <si>
    <r>
      <rPr>
        <b/>
        <sz val="10"/>
        <color indexed="8"/>
        <rFont val="Arial"/>
        <family val="2"/>
      </rPr>
      <t>Dächer inkl. unterbaute Flächen aus Produkten ohne biozide Ausrüstungen</t>
    </r>
    <r>
      <rPr>
        <sz val="10"/>
        <color indexed="8"/>
        <rFont val="Arial"/>
        <family val="2"/>
      </rPr>
      <t xml:space="preserve">
Bitumendichtungsbahnen, -pappen (z.B. Gründach) u.ä.
</t>
    </r>
  </si>
  <si>
    <r>
      <rPr>
        <b/>
        <sz val="10"/>
        <rFont val="Arial"/>
        <family val="2"/>
      </rPr>
      <t>Konstruktiver Holzbau</t>
    </r>
    <r>
      <rPr>
        <sz val="10"/>
        <rFont val="Arial"/>
        <family val="2"/>
      </rPr>
      <t xml:space="preserve"> </t>
    </r>
    <r>
      <rPr>
        <sz val="8"/>
        <rFont val="Arial"/>
        <family val="2"/>
      </rPr>
      <t>(Bepunktung nur bei Holz- bzw. Mischbauten; 50 Vol.-% der konstruktiven Bauteile aus Holz)</t>
    </r>
  </si>
  <si>
    <r>
      <t>Einsatz von Recyclingbeton und CO</t>
    </r>
    <r>
      <rPr>
        <b/>
        <vertAlign val="subscript"/>
        <sz val="12"/>
        <rFont val="Arial"/>
        <family val="2"/>
      </rPr>
      <t>2</t>
    </r>
    <r>
      <rPr>
        <b/>
        <sz val="12"/>
        <rFont val="Arial"/>
        <family val="2"/>
      </rPr>
      <t>-armem Zement</t>
    </r>
  </si>
  <si>
    <t>max. 70</t>
  </si>
  <si>
    <t>max. 45</t>
  </si>
  <si>
    <t>max. 15</t>
  </si>
  <si>
    <t>PVC-freie Elektroinstallationen</t>
  </si>
  <si>
    <r>
      <rPr>
        <sz val="10"/>
        <rFont val="Arial"/>
        <family val="2"/>
      </rPr>
      <t>Durchgängiger Einsatz von Kältemitteln mit GWP &lt; 150 in allen Wärmepumpen (keine Punkte bei reinen Kompressorkältemaschinen)</t>
    </r>
    <r>
      <rPr>
        <b/>
        <sz val="10"/>
        <rFont val="Arial"/>
        <family val="2"/>
      </rPr>
      <t xml:space="preserve">
 </t>
    </r>
  </si>
  <si>
    <t>Durchgängiger Verzicht von PU-/Epoxidharzbeschichtungen im gesamten Gebäude</t>
  </si>
  <si>
    <r>
      <rPr>
        <b/>
        <sz val="10"/>
        <rFont val="Arial"/>
        <family val="2"/>
      </rPr>
      <t>Fußbodenbelag Massivholz</t>
    </r>
    <r>
      <rPr>
        <sz val="10"/>
        <rFont val="Arial"/>
        <family val="2"/>
      </rPr>
      <t xml:space="preserve"> (z.B. Massivparkett, Dielenboden; </t>
    </r>
    <r>
      <rPr>
        <sz val="10"/>
        <color theme="1"/>
        <rFont val="Arial"/>
        <family val="2"/>
      </rPr>
      <t>Mehrschichtparkett mit einer Nutzschichtstärke von mind. 6 mm; mehr als die Hälfte der konditionierten Flächen als Vollholzkonstruktion)</t>
    </r>
  </si>
  <si>
    <t>mindestens 30 % des Betonvolumens aller Expositionsklassen werden als RC-Beton ausgeführt;
bei diesem Betonvolumen ist der Betonzuschlag mit einem Anteil von mindestens 25 Massen-% der Gesteinskörnungen aus Recyclingmaterial auszuführen</t>
  </si>
  <si>
    <t>Verwendung von CO2-armem Zement als Bindemittel bei mind. 70% des technisch umsetzbaren Betonvolumens</t>
  </si>
  <si>
    <r>
      <t xml:space="preserve">Umsetzung von Trockensteinmauern (Länge &gt; 3 m), Natursteinhaufen (mind. 1 m³) </t>
    </r>
    <r>
      <rPr>
        <u/>
        <sz val="10"/>
        <rFont val="Arial"/>
        <family val="2"/>
      </rPr>
      <t>oder</t>
    </r>
    <r>
      <rPr>
        <sz val="10"/>
        <rFont val="Arial"/>
        <family val="2"/>
      </rPr>
      <t xml:space="preserve"> Totholzelementen (&gt; 3 m² Grundfläche)</t>
    </r>
  </si>
  <si>
    <t>Darstellung und Berücksichtigung der Niederschlagswasser-Fließwege auf dem Grundstück zur effektiven Ableitung von Starkregenereignissen</t>
  </si>
  <si>
    <r>
      <t>Fläche (m</t>
    </r>
    <r>
      <rPr>
        <b/>
        <vertAlign val="superscript"/>
        <sz val="11"/>
        <color theme="1"/>
        <rFont val="Arial"/>
        <family val="2"/>
      </rPr>
      <t>2</t>
    </r>
    <r>
      <rPr>
        <b/>
        <sz val="11"/>
        <color theme="1"/>
        <rFont val="Arial"/>
        <family val="2"/>
      </rPr>
      <t>)</t>
    </r>
  </si>
  <si>
    <t>Basisfläche</t>
  </si>
  <si>
    <t xml:space="preserve">Wasserdurchlässige mit einem Abflussbeiwert bis zu 0,3
</t>
  </si>
  <si>
    <t>Teilversiegelte Oberflächen mit einem Abflussbeiwert 0,3 - 0,6</t>
  </si>
  <si>
    <t>Versiegelte Oberflächen ab einem Abflussbeiwert &gt; 0,6</t>
  </si>
  <si>
    <t>Rasen-, Wiesen- und Staudenflächen (unverholzte Bereiche)</t>
  </si>
  <si>
    <t>Strauch- und Heckenflächen</t>
  </si>
  <si>
    <t>Sickerfläche, Rückhaltebecken, Raingarden oder ähnliches</t>
  </si>
  <si>
    <t>Extensivbegrünung, im Durchschnitt 15-24 cm Vegetationstragschicht (ÖNORM L1131 / FLL Dachbegrünungsrichtlinien)</t>
  </si>
  <si>
    <t>Intensivbegrünung &gt;25 cm Vegetationstragschicht 
(ÖNORM L1131 / FLL Dachbegrünungsrichtlinien)</t>
  </si>
  <si>
    <r>
      <t xml:space="preserve">Baum groß (~ 15 m Kronendurchmesser Zielwert), je Baum: </t>
    </r>
    <r>
      <rPr>
        <b/>
        <sz val="11"/>
        <color theme="1"/>
        <rFont val="Arial"/>
        <family val="2"/>
      </rPr>
      <t>75 m²</t>
    </r>
  </si>
  <si>
    <r>
      <t xml:space="preserve">Baum mittel (~ 10 m Kronendurchmesser Zielwert), je Baum: </t>
    </r>
    <r>
      <rPr>
        <b/>
        <sz val="11"/>
        <color theme="1"/>
        <rFont val="Arial"/>
        <family val="2"/>
      </rPr>
      <t>20 m²</t>
    </r>
  </si>
  <si>
    <r>
      <t xml:space="preserve">Baum klein (~ 5 m Kronendurchmesser Zielwert), je Baum: </t>
    </r>
    <r>
      <rPr>
        <b/>
        <sz val="11"/>
        <color theme="1"/>
        <rFont val="Arial"/>
        <family val="2"/>
      </rPr>
      <t>5 m²</t>
    </r>
  </si>
  <si>
    <t>Sockelleisten/ wischbarer Sockelbereich</t>
  </si>
  <si>
    <r>
      <t>Nachweis</t>
    </r>
    <r>
      <rPr>
        <sz val="10"/>
        <color theme="1"/>
        <rFont val="Arial"/>
        <family val="2"/>
      </rPr>
      <t>: Beschreibung, Planvorlage oder bei Begehung Vor-Ort ersichtlich.</t>
    </r>
  </si>
  <si>
    <r>
      <t>Nachweis</t>
    </r>
    <r>
      <rPr>
        <sz val="10"/>
        <color theme="1"/>
        <rFont val="Arial"/>
        <family val="2"/>
      </rPr>
      <t>: Planvorlage oder bei Begehung Vor-Ort ersichtlich</t>
    </r>
  </si>
  <si>
    <r>
      <t>Nachweis</t>
    </r>
    <r>
      <rPr>
        <sz val="10"/>
        <color theme="1"/>
        <rFont val="Arial"/>
        <family val="2"/>
      </rPr>
      <t>: Beschreibung Art und Weise oder in Pläne ersichtlich</t>
    </r>
  </si>
  <si>
    <t>Außenanlage/WCs</t>
  </si>
  <si>
    <t>Regenwassernutzung zur Bewässerung der Außenanlagen</t>
  </si>
  <si>
    <t>Regenwassernutzung im Gebäude (Anbindung an WC- und Urinalspülung)</t>
  </si>
  <si>
    <r>
      <t>Emissionen CO</t>
    </r>
    <r>
      <rPr>
        <vertAlign val="subscript"/>
        <sz val="10"/>
        <color theme="1"/>
        <rFont val="Arial"/>
        <family val="2"/>
      </rPr>
      <t>2</t>
    </r>
  </si>
  <si>
    <t>PV Jahresertrag gesamt</t>
  </si>
  <si>
    <r>
      <t>CO</t>
    </r>
    <r>
      <rPr>
        <b/>
        <vertAlign val="subscript"/>
        <sz val="10"/>
        <color theme="1"/>
        <rFont val="Arial"/>
        <family val="2"/>
      </rPr>
      <t>2</t>
    </r>
    <r>
      <rPr>
        <b/>
        <sz val="10"/>
        <color theme="1"/>
        <rFont val="Arial"/>
        <family val="2"/>
      </rPr>
      <t>-Punkte</t>
    </r>
  </si>
  <si>
    <t>kg CO₂-Äq./m²a</t>
  </si>
  <si>
    <t>Gehölzinsel oder Wildhecke (&gt; 3 m breit und &gt; 5 m lang) mit natürlichem Unterwuchs und heimischen Arten in ihrer Wildform (keine züchterische Form, keine Sorte, kein Formschnitt)</t>
  </si>
  <si>
    <t>erfüllt</t>
  </si>
  <si>
    <t>nicht erfüllt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</si>
</sst>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quot;€&quot;;[Red]\-#,##0.00\ &quot;€&quot;"/>
    <numFmt numFmtId="165" formatCode="0&quot;.&quot;"/>
    <numFmt numFmtId="166" formatCode="&quot;max. &quot;0"/>
    <numFmt numFmtId="167" formatCode="#,##0_ ;\-#,##0\ "/>
    <numFmt numFmtId="168" formatCode="0.0000"/>
    <numFmt numFmtId="169" formatCode="0.0"/>
  </numFmts>
  <fonts count="10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sz val="12"/>
      <name val="Arial"/>
      <family val="2"/>
    </font>
    <font>
      <sz val="8"/>
      <name val="Arial"/>
      <family val="2"/>
    </font>
    <font>
      <b/>
      <sz val="10"/>
      <name val="Arial"/>
      <family val="2"/>
    </font>
    <font>
      <b/>
      <sz val="12"/>
      <name val="Arial"/>
      <family val="2"/>
    </font>
    <font>
      <sz val="10"/>
      <color indexed="10"/>
      <name val="Arial"/>
      <family val="2"/>
    </font>
    <font>
      <sz val="12"/>
      <name val="Arial"/>
      <family val="2"/>
    </font>
    <font>
      <b/>
      <sz val="12"/>
      <name val="L Frutiger Light"/>
    </font>
    <font>
      <i/>
      <sz val="10"/>
      <name val="Arial"/>
      <family val="2"/>
    </font>
    <font>
      <b/>
      <sz val="18"/>
      <name val="Arial"/>
      <family val="2"/>
    </font>
    <font>
      <b/>
      <sz val="22"/>
      <name val="Arial"/>
      <family val="2"/>
    </font>
    <font>
      <sz val="10"/>
      <color indexed="8"/>
      <name val="Arial"/>
      <family val="2"/>
    </font>
    <font>
      <sz val="10"/>
      <color indexed="63"/>
      <name val="Arial"/>
      <family val="2"/>
    </font>
    <font>
      <b/>
      <sz val="12"/>
      <color indexed="10"/>
      <name val="Arial"/>
      <family val="2"/>
    </font>
    <font>
      <b/>
      <sz val="10"/>
      <color indexed="8"/>
      <name val="Arial"/>
      <family val="2"/>
    </font>
    <font>
      <b/>
      <vertAlign val="subscript"/>
      <sz val="10"/>
      <name val="Arial"/>
      <family val="2"/>
    </font>
    <font>
      <b/>
      <sz val="12"/>
      <color indexed="8"/>
      <name val="Arial"/>
      <family val="2"/>
    </font>
    <font>
      <sz val="11"/>
      <color indexed="6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u/>
      <sz val="10"/>
      <color indexed="12"/>
      <name val="Arial"/>
      <family val="2"/>
    </font>
    <font>
      <sz val="8"/>
      <name val="Arial"/>
      <family val="2"/>
    </font>
    <font>
      <b/>
      <sz val="16"/>
      <name val="Arial"/>
      <family val="2"/>
    </font>
    <font>
      <sz val="16"/>
      <name val="Arial"/>
      <family val="2"/>
    </font>
    <font>
      <b/>
      <sz val="16"/>
      <name val="L Frutiger Light"/>
    </font>
    <font>
      <b/>
      <sz val="10"/>
      <color indexed="63"/>
      <name val="Arial"/>
      <family val="2"/>
    </font>
    <font>
      <b/>
      <sz val="11"/>
      <name val="Arial"/>
      <family val="2"/>
    </font>
    <font>
      <b/>
      <sz val="11"/>
      <color indexed="8"/>
      <name val="Arial"/>
      <family val="2"/>
    </font>
    <font>
      <sz val="11"/>
      <name val="Arial"/>
      <family val="2"/>
    </font>
    <font>
      <b/>
      <sz val="14"/>
      <name val="Arial"/>
      <family val="2"/>
    </font>
    <font>
      <b/>
      <vertAlign val="subscript"/>
      <sz val="10"/>
      <color indexed="8"/>
      <name val="Arial"/>
      <family val="2"/>
    </font>
    <font>
      <sz val="10"/>
      <name val="Arial"/>
      <family val="2"/>
    </font>
    <font>
      <b/>
      <sz val="11"/>
      <color rgb="FF3F3F3F"/>
      <name val="Calibri"/>
      <family val="2"/>
      <scheme val="minor"/>
    </font>
    <font>
      <sz val="11"/>
      <color theme="1"/>
      <name val="Calibri"/>
      <family val="2"/>
      <scheme val="minor"/>
    </font>
    <font>
      <sz val="11"/>
      <color rgb="FF3F3F76"/>
      <name val="Calibri"/>
      <family val="2"/>
      <scheme val="minor"/>
    </font>
    <font>
      <sz val="11"/>
      <color theme="1"/>
      <name val="Arial"/>
      <family val="2"/>
    </font>
    <font>
      <sz val="10"/>
      <color theme="1"/>
      <name val="Arial"/>
      <family val="2"/>
    </font>
    <font>
      <sz val="12"/>
      <color theme="1"/>
      <name val="Arial"/>
      <family val="2"/>
    </font>
    <font>
      <sz val="10"/>
      <color rgb="FF3F3F76"/>
      <name val="Arial"/>
      <family val="2"/>
    </font>
    <font>
      <b/>
      <sz val="10"/>
      <color theme="1"/>
      <name val="Arial"/>
      <family val="2"/>
    </font>
    <font>
      <b/>
      <sz val="11"/>
      <color theme="1"/>
      <name val="Calibri"/>
      <family val="2"/>
      <scheme val="minor"/>
    </font>
    <font>
      <b/>
      <sz val="10"/>
      <color theme="1"/>
      <name val="Calibri"/>
      <family val="2"/>
      <scheme val="minor"/>
    </font>
    <font>
      <sz val="10"/>
      <color theme="1"/>
      <name val="Calibri"/>
      <family val="2"/>
      <scheme val="minor"/>
    </font>
    <font>
      <sz val="11"/>
      <color theme="0"/>
      <name val="Calibri"/>
      <family val="2"/>
      <scheme val="minor"/>
    </font>
    <font>
      <b/>
      <sz val="11"/>
      <color theme="1"/>
      <name val="Arial"/>
      <family val="2"/>
    </font>
    <font>
      <sz val="8"/>
      <color theme="1"/>
      <name val="Arial"/>
      <family val="2"/>
    </font>
    <font>
      <sz val="11"/>
      <color theme="0"/>
      <name val="Arial"/>
      <family val="2"/>
    </font>
    <font>
      <sz val="11"/>
      <color rgb="FFFF0000"/>
      <name val="Calibri"/>
      <family val="2"/>
      <scheme val="minor"/>
    </font>
    <font>
      <sz val="10"/>
      <color theme="0"/>
      <name val="Arial"/>
      <family val="2"/>
    </font>
    <font>
      <b/>
      <sz val="22"/>
      <color rgb="FF000000"/>
      <name val="Arial"/>
      <family val="2"/>
    </font>
    <font>
      <b/>
      <sz val="11"/>
      <color rgb="FF000000"/>
      <name val="Arial"/>
      <family val="2"/>
    </font>
    <font>
      <b/>
      <sz val="12"/>
      <color rgb="FF000000"/>
      <name val="Arial"/>
      <family val="2"/>
    </font>
    <font>
      <vertAlign val="subscript"/>
      <sz val="10"/>
      <color theme="1"/>
      <name val="Arial"/>
      <family val="2"/>
    </font>
    <font>
      <b/>
      <vertAlign val="subscript"/>
      <sz val="10"/>
      <color theme="1"/>
      <name val="Arial"/>
      <family val="2"/>
    </font>
    <font>
      <sz val="10"/>
      <color rgb="FFFF0000"/>
      <name val="Arial"/>
      <family val="2"/>
    </font>
    <font>
      <sz val="11"/>
      <color rgb="FFFF0000"/>
      <name val="Arial"/>
      <family val="2"/>
    </font>
    <font>
      <sz val="12"/>
      <color theme="0"/>
      <name val="Arial"/>
      <family val="2"/>
    </font>
    <font>
      <b/>
      <vertAlign val="subscript"/>
      <sz val="12"/>
      <name val="Arial"/>
      <family val="2"/>
    </font>
    <font>
      <b/>
      <sz val="16"/>
      <color theme="1"/>
      <name val="Arial"/>
      <family val="2"/>
    </font>
    <font>
      <b/>
      <sz val="11"/>
      <color rgb="FFFF0000"/>
      <name val="Arial"/>
      <family val="2"/>
    </font>
    <font>
      <vertAlign val="subscript"/>
      <sz val="11"/>
      <color theme="1"/>
      <name val="Arial"/>
      <family val="2"/>
    </font>
    <font>
      <b/>
      <i/>
      <sz val="16"/>
      <name val="Arial"/>
      <family val="2"/>
    </font>
    <font>
      <sz val="11"/>
      <color indexed="62"/>
      <name val="Arial"/>
      <family val="2"/>
    </font>
    <font>
      <i/>
      <u/>
      <sz val="10"/>
      <name val="Arial"/>
      <family val="2"/>
    </font>
    <font>
      <vertAlign val="superscript"/>
      <sz val="10"/>
      <color indexed="8"/>
      <name val="Arial"/>
      <family val="2"/>
    </font>
    <font>
      <b/>
      <vertAlign val="subscript"/>
      <sz val="11"/>
      <name val="Arial"/>
      <family val="2"/>
    </font>
    <font>
      <b/>
      <sz val="10"/>
      <color rgb="FF000000"/>
      <name val="Arial"/>
      <family val="2"/>
    </font>
    <font>
      <b/>
      <sz val="12"/>
      <color indexed="64"/>
      <name val="Arial"/>
      <family val="2"/>
    </font>
    <font>
      <sz val="10"/>
      <color rgb="FF000000"/>
      <name val="Arial"/>
      <family val="2"/>
    </font>
    <font>
      <sz val="11"/>
      <name val="Calibri"/>
      <family val="2"/>
      <scheme val="minor"/>
    </font>
    <font>
      <sz val="9"/>
      <name val="Arial"/>
      <family val="2"/>
    </font>
    <font>
      <i/>
      <sz val="10"/>
      <color rgb="FFFF0000"/>
      <name val="Arial"/>
      <family val="2"/>
    </font>
    <font>
      <vertAlign val="subscript"/>
      <sz val="10"/>
      <name val="Arial"/>
      <family val="2"/>
    </font>
    <font>
      <b/>
      <u/>
      <sz val="10"/>
      <name val="Arial"/>
      <family val="2"/>
    </font>
    <font>
      <sz val="12"/>
      <color indexed="8"/>
      <name val="Arial"/>
      <family val="2"/>
    </font>
    <font>
      <u/>
      <sz val="10"/>
      <name val="Arial"/>
      <family val="2"/>
    </font>
    <font>
      <b/>
      <vertAlign val="subscript"/>
      <sz val="9"/>
      <name val="Arial"/>
      <family val="2"/>
    </font>
    <font>
      <sz val="11"/>
      <name val="Calibri"/>
      <family val="2"/>
    </font>
    <font>
      <i/>
      <sz val="11"/>
      <color theme="1"/>
      <name val="Arial"/>
      <family val="2"/>
    </font>
    <font>
      <b/>
      <vertAlign val="superscript"/>
      <sz val="11"/>
      <color theme="1"/>
      <name val="Arial"/>
      <family val="2"/>
    </font>
    <font>
      <b/>
      <sz val="14"/>
      <color theme="1"/>
      <name val="Arial"/>
      <family val="2"/>
    </font>
  </fonts>
  <fills count="65">
    <fill>
      <patternFill patternType="none"/>
    </fill>
    <fill>
      <patternFill patternType="gray125"/>
    </fill>
    <fill>
      <patternFill patternType="solid">
        <fgColor indexed="4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55"/>
      </patternFill>
    </fill>
    <fill>
      <patternFill patternType="solid">
        <fgColor indexed="55"/>
        <bgColor indexed="64"/>
      </patternFill>
    </fill>
    <fill>
      <patternFill patternType="solid">
        <fgColor rgb="FFF2F2F2"/>
      </patternFill>
    </fill>
    <fill>
      <patternFill patternType="solid">
        <fgColor rgb="FFFFCC99"/>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rgb="FFFFFF99"/>
        <bgColor indexed="64"/>
      </patternFill>
    </fill>
    <fill>
      <patternFill patternType="solid">
        <fgColor theme="9" tint="-0.249977111117893"/>
        <bgColor indexed="64"/>
      </patternFill>
    </fill>
    <fill>
      <patternFill patternType="solid">
        <fgColor theme="9" tint="0.39997558519241921"/>
        <bgColor indexed="47"/>
      </patternFill>
    </fill>
    <fill>
      <patternFill patternType="solid">
        <fgColor rgb="FF538ED5"/>
        <bgColor indexed="64"/>
      </patternFill>
    </fill>
    <fill>
      <patternFill patternType="solid">
        <fgColor theme="9" tint="0.39997558519241921"/>
        <bgColor indexed="64"/>
      </patternFill>
    </fill>
    <fill>
      <patternFill patternType="solid">
        <fgColor rgb="FFC4D79B"/>
        <bgColor indexed="64"/>
      </patternFill>
    </fill>
    <fill>
      <patternFill patternType="solid">
        <fgColor theme="3" tint="0.39997558519241921"/>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indexed="47"/>
        <bgColor indexed="47"/>
      </patternFill>
    </fill>
    <fill>
      <patternFill patternType="solid">
        <fgColor theme="6" tint="0.39997558519241921"/>
        <bgColor indexed="47"/>
      </patternFill>
    </fill>
    <fill>
      <patternFill patternType="solid">
        <fgColor theme="6" tint="0.79998168889431442"/>
        <bgColor indexed="47"/>
      </patternFill>
    </fill>
    <fill>
      <patternFill patternType="solid">
        <fgColor theme="0" tint="-4.9989318521683403E-2"/>
        <bgColor indexed="64"/>
      </patternFill>
    </fill>
    <fill>
      <patternFill patternType="solid">
        <fgColor rgb="FFFFFF00"/>
        <bgColor indexed="64"/>
      </patternFill>
    </fill>
  </fills>
  <borders count="127">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hair">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top style="medium">
        <color indexed="64"/>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auto="1"/>
      </left>
      <right style="thin">
        <color auto="1"/>
      </right>
      <top style="thin">
        <color auto="1"/>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theme="1"/>
      </right>
      <top/>
      <bottom style="medium">
        <color indexed="64"/>
      </bottom>
      <diagonal/>
    </border>
    <border>
      <left style="thin">
        <color theme="1"/>
      </left>
      <right/>
      <top/>
      <bottom style="medium">
        <color indexed="64"/>
      </bottom>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thin">
        <color indexed="64"/>
      </bottom>
      <diagonal style="thin">
        <color indexed="64"/>
      </diagonal>
    </border>
    <border>
      <left style="thin">
        <color auto="1"/>
      </left>
      <right style="medium">
        <color auto="1"/>
      </right>
      <top/>
      <bottom/>
      <diagonal/>
    </border>
  </borders>
  <cellStyleXfs count="1112">
    <xf numFmtId="0" fontId="0" fillId="0" borderId="0"/>
    <xf numFmtId="0" fontId="10" fillId="2" borderId="0" applyNumberFormat="0" applyBorder="0" applyAlignment="0" applyProtection="0"/>
    <xf numFmtId="0" fontId="9" fillId="2" borderId="0" applyNumberFormat="0" applyBorder="0" applyAlignment="0" applyProtection="0"/>
    <xf numFmtId="0" fontId="10"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10"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10"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10"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10"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2" fillId="12"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3"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35" fillId="20" borderId="1" applyNumberFormat="0" applyAlignment="0" applyProtection="0"/>
    <xf numFmtId="0" fontId="55" fillId="24" borderId="69" applyNumberFormat="0" applyAlignment="0" applyProtection="0"/>
    <xf numFmtId="0" fontId="35" fillId="20" borderId="1" applyNumberFormat="0" applyAlignment="0" applyProtection="0"/>
    <xf numFmtId="0" fontId="36" fillId="20" borderId="2" applyNumberFormat="0" applyAlignment="0" applyProtection="0"/>
    <xf numFmtId="0" fontId="36" fillId="20" borderId="2" applyNumberFormat="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28" fillId="7" borderId="2" applyNumberFormat="0" applyAlignment="0" applyProtection="0"/>
    <xf numFmtId="0" fontId="57" fillId="25" borderId="70" applyNumberFormat="0" applyAlignment="0" applyProtection="0"/>
    <xf numFmtId="0" fontId="28" fillId="7" borderId="2" applyNumberFormat="0" applyAlignment="0" applyProtection="0"/>
    <xf numFmtId="0" fontId="28" fillId="7" borderId="2" applyNumberFormat="0" applyAlignment="0" applyProtection="0"/>
    <xf numFmtId="0" fontId="57" fillId="25" borderId="70" applyNumberFormat="0" applyAlignment="0" applyProtection="0"/>
    <xf numFmtId="0" fontId="57" fillId="25" borderId="70" applyNumberFormat="0" applyAlignment="0" applyProtection="0"/>
    <xf numFmtId="0" fontId="57" fillId="25" borderId="70" applyNumberFormat="0" applyAlignment="0" applyProtection="0"/>
    <xf numFmtId="0" fontId="57" fillId="25" borderId="70" applyNumberFormat="0" applyAlignment="0" applyProtection="0"/>
    <xf numFmtId="0" fontId="57" fillId="25" borderId="70" applyNumberFormat="0" applyAlignment="0" applyProtection="0"/>
    <xf numFmtId="0" fontId="57" fillId="25" borderId="70" applyNumberFormat="0" applyAlignment="0" applyProtection="0"/>
    <xf numFmtId="0" fontId="57" fillId="25" borderId="70" applyNumberFormat="0" applyAlignment="0" applyProtection="0"/>
    <xf numFmtId="0" fontId="41" fillId="0" borderId="3" applyNumberFormat="0" applyFill="0" applyAlignment="0" applyProtection="0"/>
    <xf numFmtId="0" fontId="41" fillId="0" borderId="3"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33" fillId="4" borderId="0" applyNumberFormat="0" applyBorder="0" applyAlignment="0" applyProtection="0"/>
    <xf numFmtId="0" fontId="33" fillId="4" borderId="0" applyNumberFormat="0" applyBorder="0" applyAlignment="0" applyProtection="0"/>
    <xf numFmtId="0" fontId="43" fillId="0" borderId="0" applyNumberFormat="0" applyFill="0" applyBorder="0" applyAlignment="0" applyProtection="0">
      <alignment vertical="top"/>
      <protection locked="0"/>
    </xf>
    <xf numFmtId="43" fontId="54"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11" fillId="0" borderId="0" applyFont="0" applyFill="0" applyBorder="0" applyAlignment="0" applyProtection="0"/>
    <xf numFmtId="0" fontId="11" fillId="21" borderId="4" applyNumberFormat="0" applyFont="0" applyAlignment="0" applyProtection="0"/>
    <xf numFmtId="0" fontId="11" fillId="21" borderId="4" applyNumberFormat="0" applyFont="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11" fillId="0" borderId="0" applyFont="0" applyFill="0" applyBorder="0" applyAlignment="0" applyProtection="0"/>
    <xf numFmtId="0" fontId="34" fillId="2" borderId="0" applyNumberFormat="0" applyBorder="0" applyAlignment="0" applyProtection="0"/>
    <xf numFmtId="0" fontId="34" fillId="2" borderId="0" applyNumberFormat="0" applyBorder="0" applyAlignment="0" applyProtection="0"/>
    <xf numFmtId="0" fontId="1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9" fillId="0" borderId="0" applyNumberFormat="0" applyFill="0" applyBorder="0" applyAlignment="0" applyProtection="0"/>
    <xf numFmtId="0" fontId="30" fillId="0" borderId="5"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6" applyNumberFormat="0" applyFill="0" applyAlignment="0" applyProtection="0"/>
    <xf numFmtId="0" fontId="32" fillId="0" borderId="7" applyNumberFormat="0" applyFill="0" applyAlignment="0" applyProtection="0"/>
    <xf numFmtId="0" fontId="32" fillId="0" borderId="7"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9" fillId="0" borderId="0" applyNumberFormat="0" applyFill="0" applyBorder="0" applyAlignment="0" applyProtection="0"/>
    <xf numFmtId="0" fontId="37" fillId="0" borderId="8" applyNumberFormat="0" applyFill="0" applyAlignment="0" applyProtection="0"/>
    <xf numFmtId="0" fontId="37" fillId="0" borderId="8"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8" fillId="22" borderId="9" applyNumberFormat="0" applyAlignment="0" applyProtection="0"/>
    <xf numFmtId="0" fontId="38" fillId="22" borderId="9" applyNumberFormat="0" applyAlignment="0" applyProtection="0"/>
    <xf numFmtId="0" fontId="56" fillId="40" borderId="0" applyNumberFormat="0" applyBorder="0" applyAlignment="0" applyProtection="0"/>
    <xf numFmtId="0" fontId="56" fillId="41" borderId="0" applyNumberFormat="0" applyBorder="0" applyAlignment="0" applyProtection="0"/>
    <xf numFmtId="0" fontId="66" fillId="42" borderId="0" applyNumberFormat="0" applyBorder="0" applyAlignment="0" applyProtection="0"/>
    <xf numFmtId="0" fontId="56" fillId="43" borderId="0" applyNumberFormat="0" applyBorder="0" applyAlignment="0" applyProtection="0"/>
    <xf numFmtId="0" fontId="66" fillId="44"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66" fillId="47" borderId="0" applyNumberFormat="0" applyBorder="0" applyAlignment="0" applyProtection="0"/>
    <xf numFmtId="0" fontId="56" fillId="48" borderId="0" applyNumberFormat="0" applyBorder="0" applyAlignment="0" applyProtection="0"/>
    <xf numFmtId="0" fontId="56" fillId="49" borderId="0" applyNumberFormat="0" applyBorder="0" applyAlignment="0" applyProtection="0"/>
    <xf numFmtId="0" fontId="66" fillId="50" borderId="0" applyNumberFormat="0" applyBorder="0" applyAlignment="0" applyProtection="0"/>
    <xf numFmtId="0" fontId="56" fillId="51" borderId="0" applyNumberFormat="0" applyBorder="0" applyAlignment="0" applyProtection="0"/>
    <xf numFmtId="0" fontId="56" fillId="52" borderId="0" applyNumberFormat="0" applyBorder="0" applyAlignment="0" applyProtection="0"/>
    <xf numFmtId="0" fontId="66" fillId="53" borderId="0" applyNumberFormat="0" applyBorder="0" applyAlignment="0" applyProtection="0"/>
    <xf numFmtId="0" fontId="56" fillId="54" borderId="0" applyNumberFormat="0" applyBorder="0" applyAlignment="0" applyProtection="0"/>
    <xf numFmtId="0" fontId="56" fillId="55" borderId="0" applyNumberFormat="0" applyBorder="0" applyAlignment="0" applyProtection="0"/>
    <xf numFmtId="0" fontId="66" fillId="56"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9" fillId="0" borderId="0"/>
    <xf numFmtId="0" fontId="28" fillId="60" borderId="2" applyNumberFormat="0"/>
    <xf numFmtId="0" fontId="35" fillId="20" borderId="115" applyNumberFormat="0" applyAlignment="0" applyProtection="0"/>
    <xf numFmtId="0" fontId="35" fillId="20" borderId="115" applyNumberFormat="0" applyAlignment="0" applyProtection="0"/>
    <xf numFmtId="0" fontId="36" fillId="20" borderId="116" applyNumberFormat="0" applyAlignment="0" applyProtection="0"/>
    <xf numFmtId="0" fontId="36" fillId="20" borderId="116"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7" borderId="116" applyNumberFormat="0" applyAlignment="0" applyProtection="0"/>
    <xf numFmtId="0" fontId="28" fillId="7" borderId="116" applyNumberFormat="0" applyAlignment="0" applyProtection="0"/>
    <xf numFmtId="0" fontId="41" fillId="0" borderId="117" applyNumberFormat="0" applyFill="0" applyAlignment="0" applyProtection="0"/>
    <xf numFmtId="0" fontId="41" fillId="0" borderId="117" applyNumberFormat="0" applyFill="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0" fontId="11" fillId="21" borderId="118" applyNumberFormat="0" applyFont="0" applyAlignment="0" applyProtection="0"/>
    <xf numFmtId="0" fontId="11" fillId="21" borderId="11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25" borderId="70"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1" fillId="0" borderId="0"/>
  </cellStyleXfs>
  <cellXfs count="1011">
    <xf numFmtId="0" fontId="0" fillId="0" borderId="0" xfId="0"/>
    <xf numFmtId="0" fontId="58" fillId="0" borderId="0" xfId="109" applyFont="1"/>
    <xf numFmtId="0" fontId="59" fillId="0" borderId="18" xfId="109" applyFont="1" applyBorder="1" applyAlignment="1">
      <alignment vertical="center"/>
    </xf>
    <xf numFmtId="0" fontId="62" fillId="26" borderId="38" xfId="109" applyFont="1" applyFill="1" applyBorder="1" applyAlignment="1">
      <alignment vertical="center"/>
    </xf>
    <xf numFmtId="0" fontId="11" fillId="29" borderId="29" xfId="72" applyFont="1" applyFill="1" applyBorder="1" applyAlignment="1" applyProtection="1">
      <alignment horizontal="center" vertical="center" wrapText="1"/>
      <protection locked="0"/>
    </xf>
    <xf numFmtId="1" fontId="15" fillId="29" borderId="10" xfId="0" applyNumberFormat="1" applyFont="1" applyFill="1" applyBorder="1" applyAlignment="1" applyProtection="1">
      <alignment horizontal="center" vertical="center" wrapText="1"/>
      <protection locked="0"/>
    </xf>
    <xf numFmtId="14" fontId="15" fillId="29" borderId="10" xfId="0" applyNumberFormat="1" applyFont="1" applyFill="1" applyBorder="1" applyAlignment="1" applyProtection="1">
      <alignment horizontal="center" vertical="center" wrapText="1"/>
      <protection locked="0"/>
    </xf>
    <xf numFmtId="0" fontId="63" fillId="30" borderId="10" xfId="123" applyFont="1" applyFill="1" applyBorder="1"/>
    <xf numFmtId="0" fontId="63" fillId="30" borderId="10" xfId="123" applyFont="1" applyFill="1" applyBorder="1" applyAlignment="1">
      <alignment textRotation="90"/>
    </xf>
    <xf numFmtId="0" fontId="56" fillId="0" borderId="0" xfId="123"/>
    <xf numFmtId="0" fontId="56" fillId="0" borderId="10" xfId="123" applyBorder="1"/>
    <xf numFmtId="0" fontId="64" fillId="31" borderId="10" xfId="123" applyFont="1" applyFill="1" applyBorder="1"/>
    <xf numFmtId="0" fontId="64" fillId="31" borderId="10" xfId="123" applyFont="1" applyFill="1" applyBorder="1" applyAlignment="1">
      <alignment horizontal="center" vertical="center"/>
    </xf>
    <xf numFmtId="0" fontId="11" fillId="32" borderId="10" xfId="123" applyFont="1" applyFill="1" applyBorder="1" applyAlignment="1">
      <alignment horizontal="left" vertical="center"/>
    </xf>
    <xf numFmtId="0" fontId="65" fillId="32" borderId="10" xfId="123" applyFont="1" applyFill="1" applyBorder="1"/>
    <xf numFmtId="0" fontId="56" fillId="0" borderId="10" xfId="123" applyBorder="1" applyAlignment="1">
      <alignment horizontal="center" vertical="center"/>
    </xf>
    <xf numFmtId="0" fontId="56" fillId="0" borderId="39" xfId="123" applyBorder="1" applyAlignment="1">
      <alignment horizontal="center" vertical="center"/>
    </xf>
    <xf numFmtId="0" fontId="56" fillId="0" borderId="40" xfId="123" applyBorder="1" applyAlignment="1">
      <alignment horizontal="center" vertical="center"/>
    </xf>
    <xf numFmtId="0" fontId="56" fillId="0" borderId="28" xfId="123" applyBorder="1" applyAlignment="1">
      <alignment horizontal="center" vertical="center"/>
    </xf>
    <xf numFmtId="0" fontId="65" fillId="0" borderId="0" xfId="123" applyFont="1"/>
    <xf numFmtId="0" fontId="56" fillId="0" borderId="0" xfId="123" applyAlignment="1">
      <alignment horizontal="center" vertical="center"/>
    </xf>
    <xf numFmtId="0" fontId="43" fillId="0" borderId="0" xfId="86" applyBorder="1" applyAlignment="1" applyProtection="1"/>
    <xf numFmtId="168" fontId="56" fillId="0" borderId="10" xfId="123" applyNumberFormat="1" applyBorder="1"/>
    <xf numFmtId="0" fontId="0" fillId="0" borderId="0" xfId="0" applyAlignment="1">
      <alignment vertical="center"/>
    </xf>
    <xf numFmtId="0" fontId="59" fillId="0" borderId="48" xfId="109" applyFont="1" applyBorder="1" applyAlignment="1">
      <alignment vertical="center"/>
    </xf>
    <xf numFmtId="0" fontId="0" fillId="0" borderId="0" xfId="0" applyAlignment="1">
      <alignment horizontal="center" vertical="center"/>
    </xf>
    <xf numFmtId="165" fontId="0" fillId="0" borderId="0" xfId="0" applyNumberFormat="1" applyAlignment="1">
      <alignment horizontal="center" vertical="center"/>
    </xf>
    <xf numFmtId="0" fontId="14" fillId="0" borderId="0" xfId="0" applyFont="1" applyAlignment="1">
      <alignment horizontal="left" vertical="center"/>
    </xf>
    <xf numFmtId="0" fontId="0" fillId="0" borderId="0" xfId="0" applyAlignment="1">
      <alignment vertical="center" wrapText="1"/>
    </xf>
    <xf numFmtId="0" fontId="20" fillId="0" borderId="0" xfId="0" applyFont="1" applyAlignment="1">
      <alignment horizontal="center" vertical="center"/>
    </xf>
    <xf numFmtId="0" fontId="0" fillId="0" borderId="0" xfId="0" applyAlignment="1">
      <alignment horizontal="left" vertical="center"/>
    </xf>
    <xf numFmtId="0" fontId="16" fillId="0" borderId="0" xfId="0" applyFont="1" applyAlignment="1">
      <alignment horizontal="center" vertical="center"/>
    </xf>
    <xf numFmtId="0" fontId="46" fillId="0" borderId="0" xfId="0" applyFont="1" applyAlignment="1">
      <alignment horizontal="center" vertical="center"/>
    </xf>
    <xf numFmtId="0" fontId="46" fillId="0" borderId="0" xfId="0" applyFont="1" applyAlignment="1">
      <alignment horizontal="center" vertical="center" wrapText="1"/>
    </xf>
    <xf numFmtId="0" fontId="46" fillId="0" borderId="15" xfId="0" applyFont="1" applyBorder="1" applyAlignment="1">
      <alignment horizontal="center" vertical="center" wrapText="1"/>
    </xf>
    <xf numFmtId="0" fontId="0" fillId="29" borderId="63" xfId="0" applyFill="1" applyBorder="1" applyAlignment="1">
      <alignment horizontal="center" vertical="center"/>
    </xf>
    <xf numFmtId="165" fontId="11" fillId="0" borderId="64" xfId="0" applyNumberFormat="1" applyFont="1" applyBorder="1" applyAlignment="1">
      <alignment horizontal="center" vertical="center"/>
    </xf>
    <xf numFmtId="0" fontId="14" fillId="0" borderId="10" xfId="0" applyFont="1" applyBorder="1" applyAlignment="1">
      <alignment horizontal="center" vertical="center" wrapText="1"/>
    </xf>
    <xf numFmtId="0" fontId="11" fillId="0" borderId="15" xfId="0" applyFont="1" applyBorder="1" applyAlignment="1">
      <alignment vertical="center"/>
    </xf>
    <xf numFmtId="165" fontId="11" fillId="0" borderId="24" xfId="0" applyNumberFormat="1" applyFont="1" applyBorder="1" applyAlignment="1">
      <alignment horizontal="center" vertical="center"/>
    </xf>
    <xf numFmtId="0" fontId="11" fillId="0" borderId="0" xfId="0" applyFont="1" applyAlignment="1">
      <alignment vertical="center" wrapText="1"/>
    </xf>
    <xf numFmtId="1" fontId="18" fillId="26" borderId="41" xfId="0" applyNumberFormat="1" applyFont="1" applyFill="1" applyBorder="1" applyAlignment="1">
      <alignment horizontal="center" vertical="center" wrapText="1"/>
    </xf>
    <xf numFmtId="1" fontId="18" fillId="26" borderId="24"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6" fillId="0" borderId="0" xfId="0" applyFont="1" applyAlignment="1">
      <alignment vertical="center"/>
    </xf>
    <xf numFmtId="165" fontId="45" fillId="34" borderId="62" xfId="0" applyNumberFormat="1" applyFont="1" applyFill="1" applyBorder="1" applyAlignment="1">
      <alignment horizontal="center" vertical="center"/>
    </xf>
    <xf numFmtId="0" fontId="46" fillId="0" borderId="0" xfId="0" applyFont="1" applyAlignment="1">
      <alignment vertical="center" wrapText="1"/>
    </xf>
    <xf numFmtId="0" fontId="12" fillId="0" borderId="0" xfId="0" applyFont="1" applyAlignment="1">
      <alignment vertical="center"/>
    </xf>
    <xf numFmtId="0" fontId="12" fillId="0" borderId="0" xfId="0" applyFont="1" applyAlignment="1">
      <alignment vertical="center" wrapText="1"/>
    </xf>
    <xf numFmtId="0" fontId="25" fillId="0" borderId="10" xfId="0" applyFont="1" applyBorder="1" applyAlignment="1">
      <alignment vertical="center" wrapText="1"/>
    </xf>
    <xf numFmtId="0" fontId="23" fillId="0" borderId="0" xfId="0" applyFont="1" applyAlignment="1">
      <alignment vertical="center"/>
    </xf>
    <xf numFmtId="0" fontId="23" fillId="0" borderId="0" xfId="0" applyFont="1" applyAlignment="1">
      <alignment vertical="center" wrapText="1"/>
    </xf>
    <xf numFmtId="0" fontId="11" fillId="0" borderId="0" xfId="0" applyFont="1" applyAlignment="1">
      <alignment vertical="center"/>
    </xf>
    <xf numFmtId="0" fontId="14" fillId="0" borderId="18" xfId="0" applyFont="1" applyBorder="1" applyAlignment="1">
      <alignment horizontal="center" vertical="center"/>
    </xf>
    <xf numFmtId="0" fontId="19" fillId="0" borderId="0" xfId="0" applyFont="1" applyAlignment="1">
      <alignment horizontal="center" vertical="center" wrapText="1"/>
    </xf>
    <xf numFmtId="0" fontId="45" fillId="36" borderId="61" xfId="0" applyFont="1" applyFill="1" applyBorder="1" applyAlignment="1">
      <alignment horizontal="center" vertical="center"/>
    </xf>
    <xf numFmtId="165" fontId="45" fillId="36" borderId="62" xfId="0" applyNumberFormat="1" applyFont="1" applyFill="1" applyBorder="1" applyAlignment="1">
      <alignment horizontal="center" vertical="center"/>
    </xf>
    <xf numFmtId="0" fontId="25" fillId="0" borderId="37" xfId="0" applyFont="1" applyBorder="1" applyAlignment="1">
      <alignment vertical="center" wrapText="1"/>
    </xf>
    <xf numFmtId="0" fontId="14" fillId="0" borderId="37" xfId="0" applyFont="1" applyBorder="1" applyAlignment="1">
      <alignment horizontal="center" vertical="center" wrapText="1"/>
    </xf>
    <xf numFmtId="0" fontId="45" fillId="23" borderId="61" xfId="0" applyFont="1" applyFill="1" applyBorder="1" applyAlignment="1">
      <alignment horizontal="center" vertical="center"/>
    </xf>
    <xf numFmtId="165" fontId="45" fillId="23" borderId="62" xfId="0" applyNumberFormat="1" applyFont="1" applyFill="1" applyBorder="1" applyAlignment="1">
      <alignment horizontal="center" vertical="center"/>
    </xf>
    <xf numFmtId="1" fontId="18" fillId="0" borderId="0" xfId="0" applyNumberFormat="1" applyFont="1" applyAlignment="1">
      <alignment horizontal="center" vertical="center" wrapText="1"/>
    </xf>
    <xf numFmtId="0" fontId="17" fillId="0" borderId="0" xfId="0" applyFont="1" applyAlignment="1">
      <alignment vertical="center" wrapText="1"/>
    </xf>
    <xf numFmtId="0" fontId="25" fillId="0" borderId="37" xfId="108" applyFont="1" applyBorder="1" applyAlignment="1">
      <alignment vertical="center" wrapText="1"/>
    </xf>
    <xf numFmtId="0" fontId="0" fillId="38" borderId="13" xfId="0" applyFill="1" applyBorder="1" applyAlignment="1">
      <alignment horizontal="center" vertical="center"/>
    </xf>
    <xf numFmtId="1" fontId="52" fillId="38" borderId="10" xfId="0" applyNumberFormat="1" applyFont="1" applyFill="1" applyBorder="1" applyAlignment="1">
      <alignment horizontal="center" vertical="center" wrapText="1"/>
    </xf>
    <xf numFmtId="0" fontId="25" fillId="0" borderId="28" xfId="108" applyFont="1" applyBorder="1" applyAlignment="1">
      <alignment vertical="center" wrapText="1"/>
    </xf>
    <xf numFmtId="0" fontId="14" fillId="0" borderId="39" xfId="0" applyFont="1" applyBorder="1" applyAlignment="1">
      <alignment horizontal="center" vertical="center" wrapText="1"/>
    </xf>
    <xf numFmtId="1" fontId="15" fillId="26" borderId="51" xfId="0" applyNumberFormat="1" applyFont="1" applyFill="1" applyBorder="1" applyAlignment="1">
      <alignment horizontal="center" vertical="center" wrapText="1"/>
    </xf>
    <xf numFmtId="0" fontId="11" fillId="26" borderId="10" xfId="226" applyFont="1" applyFill="1" applyBorder="1" applyAlignment="1">
      <alignment horizontal="right" vertical="center"/>
    </xf>
    <xf numFmtId="0" fontId="7" fillId="0" borderId="10" xfId="123" applyFont="1" applyBorder="1"/>
    <xf numFmtId="0" fontId="56" fillId="57" borderId="10" xfId="123" applyFill="1" applyBorder="1"/>
    <xf numFmtId="0" fontId="14" fillId="0" borderId="73" xfId="0" applyFont="1" applyBorder="1" applyAlignment="1">
      <alignment horizontal="left" vertical="center"/>
    </xf>
    <xf numFmtId="0" fontId="21" fillId="0" borderId="73" xfId="0" applyFont="1" applyBorder="1" applyAlignment="1">
      <alignment horizontal="right" vertical="center" wrapText="1"/>
    </xf>
    <xf numFmtId="0" fontId="12" fillId="0" borderId="10" xfId="0" applyFont="1" applyBorder="1"/>
    <xf numFmtId="0" fontId="52" fillId="0" borderId="10" xfId="0" applyFont="1" applyBorder="1"/>
    <xf numFmtId="0" fontId="12" fillId="0" borderId="10" xfId="0" applyFont="1" applyBorder="1" applyAlignment="1">
      <alignment wrapText="1"/>
    </xf>
    <xf numFmtId="0" fontId="11" fillId="0" borderId="0" xfId="0" applyFont="1"/>
    <xf numFmtId="0" fontId="11" fillId="0" borderId="0" xfId="108"/>
    <xf numFmtId="0" fontId="15" fillId="0" borderId="0" xfId="108" applyFont="1" applyAlignment="1">
      <alignment horizontal="center"/>
    </xf>
    <xf numFmtId="0" fontId="15" fillId="0" borderId="0" xfId="108" applyFont="1" applyAlignment="1">
      <alignment horizontal="center" vertical="center"/>
    </xf>
    <xf numFmtId="0" fontId="11" fillId="0" borderId="0" xfId="108" applyAlignment="1">
      <alignment vertical="center"/>
    </xf>
    <xf numFmtId="0" fontId="12" fillId="0" borderId="0" xfId="108" applyFont="1" applyAlignment="1">
      <alignment vertical="center"/>
    </xf>
    <xf numFmtId="0" fontId="11" fillId="0" borderId="0" xfId="108" applyAlignment="1">
      <alignment horizontal="center" vertical="center"/>
    </xf>
    <xf numFmtId="0" fontId="11" fillId="0" borderId="0" xfId="108" applyAlignment="1">
      <alignment horizontal="center" vertical="center" wrapText="1"/>
    </xf>
    <xf numFmtId="0" fontId="27" fillId="26" borderId="14" xfId="108" applyFont="1" applyFill="1" applyBorder="1" applyAlignment="1">
      <alignment vertical="center" wrapText="1"/>
    </xf>
    <xf numFmtId="0" fontId="11" fillId="0" borderId="34" xfId="108" applyBorder="1"/>
    <xf numFmtId="0" fontId="58" fillId="0" borderId="0" xfId="109" applyFont="1" applyAlignment="1">
      <alignment vertical="center"/>
    </xf>
    <xf numFmtId="0" fontId="59" fillId="0" borderId="22" xfId="109" applyFont="1" applyBorder="1" applyAlignment="1">
      <alignment vertical="center"/>
    </xf>
    <xf numFmtId="0" fontId="59" fillId="0" borderId="0" xfId="109" applyFont="1" applyAlignment="1">
      <alignment vertical="center"/>
    </xf>
    <xf numFmtId="0" fontId="58" fillId="0" borderId="25" xfId="109" applyFont="1" applyBorder="1"/>
    <xf numFmtId="0" fontId="58" fillId="0" borderId="15" xfId="109" applyFont="1" applyBorder="1"/>
    <xf numFmtId="0" fontId="59" fillId="0" borderId="23" xfId="109" applyFont="1" applyBorder="1" applyAlignment="1">
      <alignment vertical="center"/>
    </xf>
    <xf numFmtId="0" fontId="59" fillId="0" borderId="15" xfId="109" applyFont="1" applyBorder="1" applyAlignment="1">
      <alignment vertical="center"/>
    </xf>
    <xf numFmtId="0" fontId="59" fillId="0" borderId="24" xfId="109" applyFont="1" applyBorder="1" applyAlignment="1">
      <alignment vertical="center"/>
    </xf>
    <xf numFmtId="0" fontId="58" fillId="0" borderId="34" xfId="109" applyFont="1" applyBorder="1"/>
    <xf numFmtId="0" fontId="59" fillId="0" borderId="47" xfId="109" applyFont="1" applyBorder="1" applyAlignment="1">
      <alignment vertical="center"/>
    </xf>
    <xf numFmtId="0" fontId="59" fillId="0" borderId="25" xfId="109" applyFont="1" applyBorder="1" applyAlignment="1">
      <alignment vertical="center"/>
    </xf>
    <xf numFmtId="0" fontId="59" fillId="0" borderId="0" xfId="109" applyFont="1" applyAlignment="1">
      <alignment horizontal="left" vertical="center" wrapText="1"/>
    </xf>
    <xf numFmtId="0" fontId="58" fillId="0" borderId="25" xfId="109" applyFont="1" applyBorder="1" applyAlignment="1">
      <alignment vertical="center"/>
    </xf>
    <xf numFmtId="0" fontId="58" fillId="0" borderId="15" xfId="109" applyFont="1" applyBorder="1" applyAlignment="1">
      <alignment vertical="center"/>
    </xf>
    <xf numFmtId="0" fontId="60" fillId="0" borderId="0" xfId="109" applyFont="1" applyAlignment="1">
      <alignment vertical="center"/>
    </xf>
    <xf numFmtId="0" fontId="58" fillId="0" borderId="0" xfId="110" applyFont="1"/>
    <xf numFmtId="0" fontId="15" fillId="0" borderId="0" xfId="108" applyFont="1" applyAlignment="1">
      <alignment horizontal="right" vertical="center"/>
    </xf>
    <xf numFmtId="0" fontId="11" fillId="0" borderId="18" xfId="108" applyBorder="1" applyAlignment="1">
      <alignment vertical="center" wrapText="1"/>
    </xf>
    <xf numFmtId="0" fontId="15" fillId="0" borderId="0" xfId="108" applyFont="1" applyAlignment="1">
      <alignment horizontal="left"/>
    </xf>
    <xf numFmtId="0" fontId="11" fillId="0" borderId="0" xfId="108" applyAlignment="1">
      <alignment horizontal="left"/>
    </xf>
    <xf numFmtId="0" fontId="12" fillId="0" borderId="0" xfId="108" applyFont="1"/>
    <xf numFmtId="0" fontId="11" fillId="0" borderId="0" xfId="108" applyAlignment="1">
      <alignment vertical="center" wrapText="1"/>
    </xf>
    <xf numFmtId="0" fontId="11" fillId="0" borderId="0" xfId="108" applyAlignment="1">
      <alignment horizontal="left" vertical="center" wrapText="1"/>
    </xf>
    <xf numFmtId="0" fontId="25" fillId="0" borderId="18" xfId="108" applyFont="1" applyBorder="1" applyAlignment="1">
      <alignment horizontal="center" vertical="center" wrapText="1"/>
    </xf>
    <xf numFmtId="0" fontId="22" fillId="0" borderId="10" xfId="108" applyFont="1" applyBorder="1" applyAlignment="1">
      <alignment horizontal="center" vertical="center" wrapText="1"/>
    </xf>
    <xf numFmtId="0" fontId="22" fillId="0" borderId="11" xfId="108" applyFont="1" applyBorder="1" applyAlignment="1">
      <alignment horizontal="center" vertical="center" wrapText="1"/>
    </xf>
    <xf numFmtId="0" fontId="11" fillId="0" borderId="18" xfId="108" applyBorder="1" applyAlignment="1">
      <alignment vertical="center"/>
    </xf>
    <xf numFmtId="0" fontId="15" fillId="0" borderId="0" xfId="108" applyFont="1" applyAlignment="1">
      <alignment vertical="center"/>
    </xf>
    <xf numFmtId="0" fontId="15" fillId="0" borderId="0" xfId="108" applyFont="1" applyAlignment="1">
      <alignment vertical="center" wrapText="1"/>
    </xf>
    <xf numFmtId="0" fontId="11" fillId="0" borderId="0" xfId="108" applyAlignment="1">
      <alignment wrapText="1"/>
    </xf>
    <xf numFmtId="0" fontId="11" fillId="0" borderId="0" xfId="108" applyAlignment="1">
      <alignment horizontal="center" wrapText="1"/>
    </xf>
    <xf numFmtId="0" fontId="11" fillId="0" borderId="0" xfId="108" applyAlignment="1">
      <alignment horizontal="left" wrapText="1"/>
    </xf>
    <xf numFmtId="0" fontId="60" fillId="0" borderId="15" xfId="109" applyFont="1" applyBorder="1" applyAlignment="1">
      <alignment vertical="center"/>
    </xf>
    <xf numFmtId="0" fontId="59" fillId="0" borderId="27" xfId="109" applyFont="1" applyBorder="1" applyAlignment="1">
      <alignment vertical="center"/>
    </xf>
    <xf numFmtId="0" fontId="14" fillId="26" borderId="12" xfId="109" applyFont="1" applyFill="1" applyBorder="1" applyAlignment="1">
      <alignment vertical="center"/>
    </xf>
    <xf numFmtId="0" fontId="62" fillId="26" borderId="12" xfId="109" applyFont="1" applyFill="1" applyBorder="1" applyAlignment="1">
      <alignment vertical="center"/>
    </xf>
    <xf numFmtId="0" fontId="15" fillId="26" borderId="12" xfId="109" applyFont="1" applyFill="1" applyBorder="1" applyAlignment="1">
      <alignment horizontal="center" vertical="center"/>
    </xf>
    <xf numFmtId="0" fontId="59" fillId="0" borderId="41" xfId="109" applyFont="1" applyBorder="1" applyAlignment="1">
      <alignment vertical="center"/>
    </xf>
    <xf numFmtId="0" fontId="59" fillId="0" borderId="13" xfId="109" applyFont="1" applyBorder="1" applyAlignment="1">
      <alignment horizontal="center" vertical="center"/>
    </xf>
    <xf numFmtId="0" fontId="77" fillId="0" borderId="0" xfId="109" applyFont="1" applyAlignment="1">
      <alignment vertical="center"/>
    </xf>
    <xf numFmtId="0" fontId="78" fillId="0" borderId="0" xfId="109" applyFont="1"/>
    <xf numFmtId="1" fontId="15" fillId="26" borderId="12" xfId="226" applyNumberFormat="1" applyFont="1" applyFill="1" applyBorder="1" applyAlignment="1">
      <alignment horizontal="center" vertical="center"/>
    </xf>
    <xf numFmtId="1" fontId="15" fillId="26" borderId="35" xfId="226" applyNumberFormat="1" applyFont="1" applyFill="1" applyBorder="1" applyAlignment="1">
      <alignment horizontal="center" vertical="center"/>
    </xf>
    <xf numFmtId="0" fontId="77" fillId="0" borderId="0" xfId="0" applyFont="1" applyAlignment="1">
      <alignment vertical="center" wrapText="1"/>
    </xf>
    <xf numFmtId="14" fontId="77" fillId="0" borderId="0" xfId="0" applyNumberFormat="1" applyFont="1" applyAlignment="1">
      <alignment vertical="center"/>
    </xf>
    <xf numFmtId="0" fontId="59" fillId="0" borderId="75" xfId="109" applyFont="1" applyBorder="1" applyAlignment="1">
      <alignment vertical="center"/>
    </xf>
    <xf numFmtId="0" fontId="71" fillId="0" borderId="0" xfId="0" applyFont="1" applyAlignment="1">
      <alignment vertical="center" wrapText="1"/>
    </xf>
    <xf numFmtId="0" fontId="69" fillId="0" borderId="0" xfId="109" applyFont="1"/>
    <xf numFmtId="0" fontId="15" fillId="26" borderId="52" xfId="109" applyFont="1" applyFill="1" applyBorder="1" applyAlignment="1">
      <alignment horizontal="center" vertical="center"/>
    </xf>
    <xf numFmtId="0" fontId="45" fillId="33" borderId="16" xfId="0" applyFont="1" applyFill="1" applyBorder="1" applyAlignment="1">
      <alignment horizontal="center" vertical="center"/>
    </xf>
    <xf numFmtId="165" fontId="45" fillId="33" borderId="79" xfId="0" applyNumberFormat="1" applyFont="1" applyFill="1" applyBorder="1" applyAlignment="1">
      <alignment horizontal="center" vertical="center"/>
    </xf>
    <xf numFmtId="0" fontId="45" fillId="33" borderId="79" xfId="0" applyFont="1" applyFill="1" applyBorder="1" applyAlignment="1">
      <alignment horizontal="center" vertical="center" wrapText="1"/>
    </xf>
    <xf numFmtId="0" fontId="45" fillId="33" borderId="79" xfId="0" applyFont="1" applyFill="1" applyBorder="1" applyAlignment="1">
      <alignment horizontal="left" vertical="center" wrapText="1"/>
    </xf>
    <xf numFmtId="1" fontId="45" fillId="33" borderId="74" xfId="108" applyNumberFormat="1" applyFont="1" applyFill="1" applyBorder="1" applyAlignment="1">
      <alignment horizontal="center" vertical="center"/>
    </xf>
    <xf numFmtId="1" fontId="15" fillId="26" borderId="22" xfId="0" applyNumberFormat="1" applyFont="1" applyFill="1" applyBorder="1" applyAlignment="1">
      <alignment horizontal="center" vertical="center" wrapText="1"/>
    </xf>
    <xf numFmtId="165" fontId="21" fillId="0" borderId="0" xfId="0" applyNumberFormat="1" applyFont="1" applyAlignment="1">
      <alignment horizontal="center" vertical="center"/>
    </xf>
    <xf numFmtId="165" fontId="21" fillId="0" borderId="34" xfId="0" applyNumberFormat="1" applyFont="1" applyBorder="1" applyAlignment="1">
      <alignment horizontal="center" vertical="center"/>
    </xf>
    <xf numFmtId="0" fontId="52" fillId="0" borderId="0" xfId="0" applyFont="1" applyAlignment="1">
      <alignment vertical="center" wrapText="1"/>
    </xf>
    <xf numFmtId="0" fontId="58" fillId="58" borderId="0" xfId="109" applyFont="1" applyFill="1"/>
    <xf numFmtId="0" fontId="58" fillId="59" borderId="0" xfId="109" applyFont="1" applyFill="1"/>
    <xf numFmtId="0" fontId="45" fillId="0" borderId="0" xfId="0" applyFont="1" applyAlignment="1">
      <alignment horizontal="center" vertical="center"/>
    </xf>
    <xf numFmtId="0" fontId="59" fillId="0" borderId="82" xfId="109" applyFont="1" applyBorder="1" applyAlignment="1">
      <alignment vertical="center"/>
    </xf>
    <xf numFmtId="0" fontId="59" fillId="0" borderId="81" xfId="109" applyFont="1" applyBorder="1" applyAlignment="1">
      <alignment vertical="center"/>
    </xf>
    <xf numFmtId="169" fontId="11" fillId="26" borderId="10" xfId="226" applyNumberFormat="1" applyFont="1" applyFill="1" applyBorder="1" applyAlignment="1">
      <alignment horizontal="right" vertical="center"/>
    </xf>
    <xf numFmtId="14" fontId="0" fillId="0" borderId="0" xfId="0" applyNumberFormat="1" applyAlignment="1">
      <alignment textRotation="90" wrapText="1"/>
    </xf>
    <xf numFmtId="0" fontId="14" fillId="0" borderId="0" xfId="0" applyFont="1" applyAlignment="1">
      <alignment textRotation="90" wrapText="1"/>
    </xf>
    <xf numFmtId="0" fontId="0" fillId="0" borderId="0" xfId="0" applyAlignment="1">
      <alignment textRotation="90" wrapText="1"/>
    </xf>
    <xf numFmtId="0" fontId="0" fillId="0" borderId="0" xfId="0" applyAlignment="1">
      <alignment wrapText="1"/>
    </xf>
    <xf numFmtId="0" fontId="45" fillId="0" borderId="38" xfId="0" applyFont="1" applyBorder="1" applyAlignment="1">
      <alignment vertical="center" wrapText="1"/>
    </xf>
    <xf numFmtId="14" fontId="45" fillId="0" borderId="52" xfId="0" applyNumberFormat="1" applyFont="1" applyBorder="1" applyAlignment="1">
      <alignment vertical="center"/>
    </xf>
    <xf numFmtId="0" fontId="45" fillId="0" borderId="0" xfId="0" applyFont="1" applyAlignment="1">
      <alignment vertical="center"/>
    </xf>
    <xf numFmtId="0" fontId="0" fillId="0" borderId="53" xfId="0" applyBorder="1" applyAlignment="1">
      <alignment vertical="center" wrapText="1"/>
    </xf>
    <xf numFmtId="0" fontId="14" fillId="0" borderId="40" xfId="0" applyFont="1" applyBorder="1" applyAlignment="1">
      <alignment horizontal="center" vertical="center" wrapText="1"/>
    </xf>
    <xf numFmtId="0" fontId="11" fillId="0" borderId="43" xfId="0" applyFont="1" applyBorder="1" applyAlignment="1">
      <alignment vertical="center"/>
    </xf>
    <xf numFmtId="0" fontId="14" fillId="0" borderId="55" xfId="0" applyFont="1" applyBorder="1" applyAlignment="1">
      <alignment horizontal="center" vertical="center" wrapText="1"/>
    </xf>
    <xf numFmtId="165" fontId="11" fillId="0" borderId="0" xfId="0" applyNumberFormat="1" applyFont="1" applyAlignment="1">
      <alignment horizontal="center" vertical="center"/>
    </xf>
    <xf numFmtId="1" fontId="45" fillId="33" borderId="56" xfId="108" applyNumberFormat="1" applyFont="1" applyFill="1" applyBorder="1" applyAlignment="1">
      <alignment horizontal="center" vertical="center"/>
    </xf>
    <xf numFmtId="0" fontId="46" fillId="0" borderId="43" xfId="0" applyFont="1" applyBorder="1" applyAlignment="1">
      <alignment horizontal="center" vertical="center"/>
    </xf>
    <xf numFmtId="165" fontId="11" fillId="0" borderId="15" xfId="0" applyNumberFormat="1" applyFont="1" applyBorder="1" applyAlignment="1">
      <alignment horizontal="center" vertical="center"/>
    </xf>
    <xf numFmtId="0" fontId="11" fillId="0" borderId="43" xfId="0" applyFont="1" applyBorder="1" applyAlignment="1">
      <alignment vertical="center" wrapText="1"/>
    </xf>
    <xf numFmtId="0" fontId="11" fillId="0" borderId="50" xfId="0" applyFont="1" applyBorder="1" applyAlignment="1">
      <alignment vertical="center" wrapText="1"/>
    </xf>
    <xf numFmtId="0" fontId="11" fillId="0" borderId="50" xfId="0" applyFont="1" applyBorder="1" applyAlignment="1">
      <alignment vertical="center"/>
    </xf>
    <xf numFmtId="0" fontId="11" fillId="0" borderId="15" xfId="0" applyFont="1" applyBorder="1" applyAlignment="1">
      <alignment vertical="center" wrapText="1"/>
    </xf>
    <xf numFmtId="0" fontId="0" fillId="0" borderId="50" xfId="0" applyBorder="1" applyAlignment="1">
      <alignment vertical="center"/>
    </xf>
    <xf numFmtId="0" fontId="46" fillId="0" borderId="15" xfId="0" applyFont="1" applyBorder="1" applyAlignment="1">
      <alignment vertical="center" wrapText="1"/>
    </xf>
    <xf numFmtId="1" fontId="47" fillId="34" borderId="57" xfId="0" applyNumberFormat="1" applyFont="1" applyFill="1" applyBorder="1" applyAlignment="1">
      <alignment horizontal="center" vertical="center" wrapText="1"/>
    </xf>
    <xf numFmtId="0" fontId="46" fillId="0" borderId="43" xfId="0" applyFont="1" applyBorder="1" applyAlignment="1">
      <alignment vertical="center"/>
    </xf>
    <xf numFmtId="0" fontId="46" fillId="0" borderId="50" xfId="0" applyFont="1" applyBorder="1" applyAlignment="1">
      <alignment vertical="center"/>
    </xf>
    <xf numFmtId="0" fontId="12" fillId="0" borderId="15" xfId="0" applyFont="1" applyBorder="1" applyAlignment="1">
      <alignment vertical="center" wrapText="1"/>
    </xf>
    <xf numFmtId="0" fontId="27" fillId="35" borderId="42" xfId="0" applyFont="1" applyFill="1" applyBorder="1" applyAlignment="1">
      <alignment horizontal="center" vertical="center" wrapText="1"/>
    </xf>
    <xf numFmtId="0" fontId="12" fillId="0" borderId="43" xfId="0" applyFont="1" applyBorder="1" applyAlignment="1">
      <alignment vertical="center"/>
    </xf>
    <xf numFmtId="0" fontId="12" fillId="0" borderId="50" xfId="0" applyFont="1" applyBorder="1" applyAlignment="1">
      <alignment vertical="center"/>
    </xf>
    <xf numFmtId="0" fontId="0" fillId="0" borderId="15" xfId="0" applyBorder="1" applyAlignment="1">
      <alignment vertical="center" wrapText="1"/>
    </xf>
    <xf numFmtId="0" fontId="23" fillId="0" borderId="15" xfId="0" applyFont="1" applyBorder="1" applyAlignment="1">
      <alignment vertical="center" wrapText="1"/>
    </xf>
    <xf numFmtId="0" fontId="23" fillId="0" borderId="50" xfId="0" applyFont="1" applyBorder="1" applyAlignment="1">
      <alignment vertical="center"/>
    </xf>
    <xf numFmtId="1" fontId="47" fillId="36" borderId="57" xfId="0" applyNumberFormat="1" applyFont="1" applyFill="1" applyBorder="1" applyAlignment="1">
      <alignment horizontal="center" vertical="center" wrapText="1"/>
    </xf>
    <xf numFmtId="1" fontId="47" fillId="23" borderId="56" xfId="0" applyNumberFormat="1" applyFont="1" applyFill="1" applyBorder="1" applyAlignment="1">
      <alignment horizontal="center" vertical="center" wrapText="1"/>
    </xf>
    <xf numFmtId="1" fontId="18" fillId="26" borderId="20" xfId="0" applyNumberFormat="1" applyFont="1" applyFill="1" applyBorder="1" applyAlignment="1">
      <alignment horizontal="center" vertical="center" wrapText="1"/>
    </xf>
    <xf numFmtId="1" fontId="18" fillId="26" borderId="26" xfId="0" applyNumberFormat="1" applyFont="1" applyFill="1" applyBorder="1" applyAlignment="1">
      <alignment horizontal="center" vertical="center" wrapText="1"/>
    </xf>
    <xf numFmtId="0" fontId="0" fillId="0" borderId="21" xfId="0" applyBorder="1" applyAlignment="1">
      <alignment vertical="center"/>
    </xf>
    <xf numFmtId="3" fontId="15" fillId="0" borderId="13" xfId="0" applyNumberFormat="1" applyFont="1" applyBorder="1" applyAlignment="1">
      <alignment horizontal="center" vertical="center"/>
    </xf>
    <xf numFmtId="3" fontId="15" fillId="0" borderId="12" xfId="0" applyNumberFormat="1" applyFont="1" applyBorder="1" applyAlignment="1">
      <alignment horizontal="center" vertical="center"/>
    </xf>
    <xf numFmtId="0" fontId="24" fillId="0" borderId="0" xfId="0" applyFont="1" applyAlignment="1">
      <alignment vertical="center" wrapText="1"/>
    </xf>
    <xf numFmtId="0" fontId="11" fillId="0" borderId="0" xfId="0" applyFont="1" applyAlignment="1">
      <alignment horizontal="center" vertical="center"/>
    </xf>
    <xf numFmtId="165" fontId="45" fillId="26" borderId="12" xfId="0" applyNumberFormat="1" applyFont="1" applyFill="1" applyBorder="1" applyAlignment="1" applyProtection="1">
      <alignment horizontal="center" vertical="center"/>
      <protection locked="0"/>
    </xf>
    <xf numFmtId="1" fontId="15" fillId="0" borderId="10" xfId="0" applyNumberFormat="1" applyFont="1" applyBorder="1" applyAlignment="1" applyProtection="1">
      <alignment horizontal="center" vertical="center" wrapText="1"/>
      <protection locked="0"/>
    </xf>
    <xf numFmtId="0" fontId="11" fillId="0" borderId="72" xfId="108" applyBorder="1" applyAlignment="1">
      <alignment horizontal="left" vertical="center" wrapText="1"/>
    </xf>
    <xf numFmtId="0" fontId="12" fillId="0" borderId="93" xfId="108" applyFont="1" applyBorder="1" applyAlignment="1">
      <alignment vertical="center"/>
    </xf>
    <xf numFmtId="0" fontId="15" fillId="26" borderId="46" xfId="108" applyFont="1" applyFill="1" applyBorder="1" applyAlignment="1">
      <alignment vertical="center"/>
    </xf>
    <xf numFmtId="0" fontId="15" fillId="0" borderId="14" xfId="108" applyFont="1" applyBorder="1" applyAlignment="1">
      <alignment horizontal="center"/>
    </xf>
    <xf numFmtId="1" fontId="15" fillId="26" borderId="26" xfId="108" applyNumberFormat="1" applyFont="1" applyFill="1" applyBorder="1" applyAlignment="1">
      <alignment horizontal="center" vertical="center"/>
    </xf>
    <xf numFmtId="0" fontId="15" fillId="35" borderId="95" xfId="0" applyFont="1" applyFill="1" applyBorder="1" applyAlignment="1">
      <alignment vertical="center" wrapText="1"/>
    </xf>
    <xf numFmtId="0" fontId="14" fillId="0" borderId="96" xfId="0" applyFont="1" applyBorder="1" applyAlignment="1">
      <alignment horizontal="center" vertical="center" wrapText="1"/>
    </xf>
    <xf numFmtId="0" fontId="14" fillId="0" borderId="97" xfId="0" applyFont="1" applyBorder="1" applyAlignment="1">
      <alignment horizontal="center" vertical="center" wrapText="1"/>
    </xf>
    <xf numFmtId="0" fontId="45" fillId="34" borderId="79" xfId="0" applyFont="1" applyFill="1" applyBorder="1" applyAlignment="1">
      <alignment vertical="center" wrapText="1"/>
    </xf>
    <xf numFmtId="0" fontId="45" fillId="36" borderId="17" xfId="0" applyFont="1" applyFill="1" applyBorder="1" applyAlignment="1">
      <alignment horizontal="left" vertical="center" wrapText="1"/>
    </xf>
    <xf numFmtId="0" fontId="45" fillId="23" borderId="17" xfId="0" applyFont="1" applyFill="1" applyBorder="1" applyAlignment="1">
      <alignment vertical="center" wrapText="1"/>
    </xf>
    <xf numFmtId="166" fontId="15" fillId="0" borderId="38" xfId="0" applyNumberFormat="1" applyFont="1" applyBorder="1" applyAlignment="1">
      <alignment horizontal="right" vertical="center"/>
    </xf>
    <xf numFmtId="166" fontId="15" fillId="0" borderId="86" xfId="0" applyNumberFormat="1" applyFont="1" applyBorder="1" applyAlignment="1">
      <alignment horizontal="center" vertical="center"/>
    </xf>
    <xf numFmtId="3" fontId="15" fillId="0" borderId="89" xfId="0" applyNumberFormat="1" applyFont="1" applyBorder="1" applyAlignment="1">
      <alignment horizontal="center" vertical="center"/>
    </xf>
    <xf numFmtId="0" fontId="11" fillId="0" borderId="95" xfId="108" applyBorder="1" applyAlignment="1">
      <alignment vertical="center" wrapText="1"/>
    </xf>
    <xf numFmtId="1" fontId="49" fillId="26" borderId="37" xfId="60" applyNumberFormat="1" applyFont="1" applyFill="1" applyBorder="1" applyAlignment="1">
      <alignment horizontal="center" vertical="center"/>
    </xf>
    <xf numFmtId="0" fontId="49" fillId="27" borderId="104" xfId="0" applyFont="1" applyFill="1" applyBorder="1" applyAlignment="1">
      <alignment vertical="center"/>
    </xf>
    <xf numFmtId="0" fontId="49" fillId="27" borderId="61" xfId="0" applyFont="1" applyFill="1" applyBorder="1" applyAlignment="1">
      <alignment vertical="center"/>
    </xf>
    <xf numFmtId="0" fontId="59" fillId="0" borderId="83" xfId="109" applyFont="1" applyBorder="1" applyAlignment="1">
      <alignment vertical="center"/>
    </xf>
    <xf numFmtId="0" fontId="59" fillId="0" borderId="103" xfId="109" applyFont="1" applyBorder="1" applyAlignment="1">
      <alignment vertical="center"/>
    </xf>
    <xf numFmtId="0" fontId="15" fillId="26" borderId="89" xfId="109" applyFont="1" applyFill="1" applyBorder="1" applyAlignment="1">
      <alignment horizontal="center" vertical="center"/>
    </xf>
    <xf numFmtId="0" fontId="62" fillId="26" borderId="80" xfId="109" applyFont="1" applyFill="1" applyBorder="1" applyAlignment="1">
      <alignment vertical="center"/>
    </xf>
    <xf numFmtId="1" fontId="15" fillId="26" borderId="52" xfId="226" applyNumberFormat="1" applyFont="1" applyFill="1" applyBorder="1" applyAlignment="1">
      <alignment horizontal="center" vertical="center"/>
    </xf>
    <xf numFmtId="0" fontId="14" fillId="26" borderId="80" xfId="109" applyFont="1" applyFill="1" applyBorder="1" applyAlignment="1">
      <alignment vertical="center"/>
    </xf>
    <xf numFmtId="1" fontId="15" fillId="26" borderId="89" xfId="226" applyNumberFormat="1" applyFont="1" applyFill="1" applyBorder="1" applyAlignment="1">
      <alignment horizontal="center" vertical="center"/>
    </xf>
    <xf numFmtId="0" fontId="59" fillId="0" borderId="93" xfId="109" applyFont="1" applyBorder="1" applyAlignment="1">
      <alignment horizontal="left" vertical="center" wrapText="1"/>
    </xf>
    <xf numFmtId="0" fontId="59" fillId="0" borderId="87" xfId="109" applyFont="1" applyBorder="1" applyAlignment="1">
      <alignment vertical="center"/>
    </xf>
    <xf numFmtId="0" fontId="58" fillId="0" borderId="106" xfId="109" applyFont="1" applyBorder="1" applyAlignment="1">
      <alignment vertical="center"/>
    </xf>
    <xf numFmtId="0" fontId="15" fillId="0" borderId="14" xfId="108" applyFont="1" applyBorder="1" applyAlignment="1">
      <alignment horizontal="center" vertical="center"/>
    </xf>
    <xf numFmtId="0" fontId="14" fillId="0" borderId="59" xfId="0" applyFont="1" applyBorder="1" applyAlignment="1">
      <alignment horizontal="center" vertical="center" wrapText="1"/>
    </xf>
    <xf numFmtId="0" fontId="21" fillId="0" borderId="0" xfId="0" applyFont="1" applyAlignment="1">
      <alignment horizontal="right" vertical="top"/>
    </xf>
    <xf numFmtId="0" fontId="20" fillId="0" borderId="0" xfId="0" applyFont="1" applyAlignment="1">
      <alignment horizontal="right" vertical="top"/>
    </xf>
    <xf numFmtId="0" fontId="15" fillId="0" borderId="0" xfId="108" applyFont="1" applyAlignment="1">
      <alignment horizontal="left" vertical="center"/>
    </xf>
    <xf numFmtId="0" fontId="11" fillId="0" borderId="0" xfId="0" applyFont="1" applyAlignment="1">
      <alignment horizontal="left" vertical="center"/>
    </xf>
    <xf numFmtId="166" fontId="84" fillId="33" borderId="79" xfId="0" applyNumberFormat="1" applyFont="1" applyFill="1" applyBorder="1" applyAlignment="1">
      <alignment horizontal="center" vertical="center" wrapText="1"/>
    </xf>
    <xf numFmtId="1" fontId="45" fillId="34" borderId="74" xfId="0" applyNumberFormat="1" applyFont="1" applyFill="1" applyBorder="1" applyAlignment="1">
      <alignment horizontal="center" vertical="center" wrapText="1"/>
    </xf>
    <xf numFmtId="1" fontId="15" fillId="26" borderId="41" xfId="0" applyNumberFormat="1" applyFont="1" applyFill="1" applyBorder="1" applyAlignment="1">
      <alignment horizontal="center" vertical="center" wrapText="1"/>
    </xf>
    <xf numFmtId="1" fontId="45" fillId="36" borderId="57" xfId="0" applyNumberFormat="1" applyFont="1" applyFill="1" applyBorder="1" applyAlignment="1">
      <alignment horizontal="center" vertical="center" wrapText="1"/>
    </xf>
    <xf numFmtId="1" fontId="45" fillId="23" borderId="74" xfId="0" applyNumberFormat="1" applyFont="1" applyFill="1" applyBorder="1" applyAlignment="1">
      <alignment horizontal="center" vertical="center" wrapText="1"/>
    </xf>
    <xf numFmtId="0" fontId="11" fillId="0" borderId="0" xfId="108" applyProtection="1">
      <protection locked="0"/>
    </xf>
    <xf numFmtId="0" fontId="11" fillId="0" borderId="0" xfId="108" applyAlignment="1" applyProtection="1">
      <alignment vertical="center"/>
      <protection locked="0"/>
    </xf>
    <xf numFmtId="0" fontId="11" fillId="29" borderId="29" xfId="0" applyFont="1" applyFill="1" applyBorder="1" applyAlignment="1" applyProtection="1">
      <alignment horizontal="center" vertical="center"/>
      <protection locked="0"/>
    </xf>
    <xf numFmtId="0" fontId="69" fillId="0" borderId="0" xfId="123" applyFont="1"/>
    <xf numFmtId="169" fontId="11" fillId="26" borderId="10" xfId="226" applyNumberFormat="1" applyFont="1" applyFill="1" applyBorder="1" applyAlignment="1">
      <alignment horizontal="center" vertical="center"/>
    </xf>
    <xf numFmtId="169" fontId="85" fillId="29" borderId="29" xfId="72" applyNumberFormat="1" applyFont="1" applyFill="1" applyBorder="1" applyAlignment="1" applyProtection="1">
      <alignment horizontal="center" vertical="center"/>
      <protection locked="0"/>
    </xf>
    <xf numFmtId="0" fontId="11" fillId="0" borderId="92" xfId="108" applyBorder="1" applyAlignment="1">
      <alignment horizontal="left" vertical="center" wrapText="1"/>
    </xf>
    <xf numFmtId="0" fontId="11" fillId="0" borderId="25" xfId="108" applyBorder="1"/>
    <xf numFmtId="0" fontId="15" fillId="0" borderId="14" xfId="108" applyFont="1" applyBorder="1" applyAlignment="1">
      <alignment vertical="center"/>
    </xf>
    <xf numFmtId="0" fontId="61" fillId="0" borderId="0" xfId="73" applyFont="1" applyFill="1" applyBorder="1" applyAlignment="1" applyProtection="1">
      <alignment vertical="center"/>
    </xf>
    <xf numFmtId="169" fontId="11" fillId="29" borderId="10" xfId="73" applyNumberFormat="1" applyFont="1" applyFill="1" applyBorder="1" applyAlignment="1" applyProtection="1">
      <alignment horizontal="center" vertical="center"/>
      <protection locked="0"/>
    </xf>
    <xf numFmtId="0" fontId="67" fillId="27" borderId="61" xfId="109" applyFont="1" applyFill="1" applyBorder="1" applyAlignment="1">
      <alignment horizontal="left" vertical="center"/>
    </xf>
    <xf numFmtId="0" fontId="67" fillId="27" borderId="57" xfId="109" applyFont="1" applyFill="1" applyBorder="1" applyAlignment="1">
      <alignment horizontal="left" vertical="center"/>
    </xf>
    <xf numFmtId="0" fontId="50" fillId="27" borderId="104" xfId="6" applyFont="1" applyFill="1" applyBorder="1" applyAlignment="1" applyProtection="1">
      <alignment horizontal="left" vertical="center"/>
    </xf>
    <xf numFmtId="0" fontId="50" fillId="27" borderId="101" xfId="6" applyFont="1" applyFill="1" applyBorder="1" applyAlignment="1" applyProtection="1">
      <alignment horizontal="left" vertical="center"/>
    </xf>
    <xf numFmtId="0" fontId="50" fillId="27" borderId="95" xfId="6" applyFont="1" applyFill="1" applyBorder="1" applyAlignment="1" applyProtection="1">
      <alignment horizontal="center" vertical="center"/>
    </xf>
    <xf numFmtId="0" fontId="67" fillId="27" borderId="79" xfId="109" applyFont="1" applyFill="1" applyBorder="1" applyAlignment="1">
      <alignment horizontal="center" vertical="center"/>
    </xf>
    <xf numFmtId="169" fontId="14" fillId="29" borderId="95" xfId="0" applyNumberFormat="1" applyFont="1" applyFill="1" applyBorder="1" applyAlignment="1" applyProtection="1">
      <alignment horizontal="center" vertical="center"/>
      <protection locked="0"/>
    </xf>
    <xf numFmtId="0" fontId="25" fillId="0" borderId="95" xfId="0" applyFont="1" applyBorder="1" applyAlignment="1">
      <alignment vertical="center" wrapText="1"/>
    </xf>
    <xf numFmtId="1" fontId="18" fillId="26" borderId="107" xfId="0" applyNumberFormat="1" applyFont="1" applyFill="1" applyBorder="1" applyAlignment="1">
      <alignment horizontal="center" vertical="center" wrapText="1"/>
    </xf>
    <xf numFmtId="1" fontId="15" fillId="26" borderId="101" xfId="0" applyNumberFormat="1" applyFont="1" applyFill="1" applyBorder="1" applyAlignment="1">
      <alignment horizontal="center" vertical="center" wrapText="1"/>
    </xf>
    <xf numFmtId="0" fontId="25" fillId="0" borderId="99" xfId="108" applyFont="1" applyBorder="1" applyAlignment="1">
      <alignment vertical="center" wrapText="1"/>
    </xf>
    <xf numFmtId="0" fontId="49" fillId="29" borderId="20" xfId="72" applyFont="1" applyFill="1" applyBorder="1" applyAlignment="1" applyProtection="1">
      <alignment horizontal="center" vertical="center" wrapText="1"/>
      <protection locked="0"/>
    </xf>
    <xf numFmtId="0" fontId="14" fillId="0" borderId="110" xfId="0" applyFont="1" applyBorder="1" applyAlignment="1">
      <alignment horizontal="center" vertical="center"/>
    </xf>
    <xf numFmtId="0" fontId="14" fillId="0" borderId="110" xfId="0" applyFont="1" applyBorder="1" applyAlignment="1">
      <alignment vertical="center"/>
    </xf>
    <xf numFmtId="0" fontId="11" fillId="0" borderId="99" xfId="0" applyFont="1" applyBorder="1" applyAlignment="1">
      <alignment vertical="center" wrapText="1"/>
    </xf>
    <xf numFmtId="1" fontId="15" fillId="29" borderId="101" xfId="0" applyNumberFormat="1" applyFont="1" applyFill="1" applyBorder="1" applyAlignment="1" applyProtection="1">
      <alignment horizontal="center" vertical="center" wrapText="1"/>
      <protection locked="0"/>
    </xf>
    <xf numFmtId="0" fontId="15" fillId="29" borderId="49" xfId="0" applyFont="1" applyFill="1" applyBorder="1" applyAlignment="1" applyProtection="1">
      <alignment horizontal="center" vertical="center" wrapText="1"/>
      <protection locked="0"/>
    </xf>
    <xf numFmtId="0" fontId="11" fillId="0" borderId="98" xfId="0" applyFont="1" applyBorder="1" applyAlignment="1">
      <alignment horizontal="center" vertical="center" wrapText="1"/>
    </xf>
    <xf numFmtId="0" fontId="22" fillId="0" borderId="0" xfId="108" applyFont="1" applyAlignment="1">
      <alignment horizontal="left" vertical="top" wrapText="1"/>
    </xf>
    <xf numFmtId="0" fontId="11" fillId="0" borderId="95" xfId="0" applyFont="1" applyBorder="1" applyAlignment="1">
      <alignment horizontal="left" vertical="center"/>
    </xf>
    <xf numFmtId="1" fontId="15" fillId="26" borderId="90" xfId="0" applyNumberFormat="1" applyFont="1" applyFill="1" applyBorder="1" applyAlignment="1">
      <alignment horizontal="center" vertical="center" wrapText="1"/>
    </xf>
    <xf numFmtId="1" fontId="15" fillId="26" borderId="49" xfId="0" applyNumberFormat="1" applyFont="1" applyFill="1" applyBorder="1" applyAlignment="1">
      <alignment horizontal="center" vertical="center" wrapText="1"/>
    </xf>
    <xf numFmtId="0" fontId="62" fillId="0" borderId="16" xfId="365" applyFont="1" applyBorder="1" applyAlignment="1">
      <alignment vertical="center"/>
    </xf>
    <xf numFmtId="0" fontId="62" fillId="0" borderId="79" xfId="365" applyFont="1" applyBorder="1" applyAlignment="1">
      <alignment horizontal="center" vertical="center"/>
    </xf>
    <xf numFmtId="0" fontId="62" fillId="0" borderId="74" xfId="365" applyFont="1" applyBorder="1" applyAlignment="1">
      <alignment horizontal="center" vertical="center"/>
    </xf>
    <xf numFmtId="0" fontId="62" fillId="0" borderId="103" xfId="365" applyFont="1" applyBorder="1" applyAlignment="1">
      <alignment vertical="center"/>
    </xf>
    <xf numFmtId="0" fontId="60" fillId="0" borderId="90" xfId="365" applyFont="1" applyBorder="1" applyAlignment="1">
      <alignment horizontal="center" vertical="center"/>
    </xf>
    <xf numFmtId="0" fontId="62" fillId="0" borderId="83" xfId="365" applyFont="1" applyBorder="1" applyAlignment="1">
      <alignment vertical="center"/>
    </xf>
    <xf numFmtId="0" fontId="60" fillId="0" borderId="84" xfId="365" applyFont="1" applyBorder="1" applyAlignment="1">
      <alignment horizontal="center" vertical="center"/>
    </xf>
    <xf numFmtId="169" fontId="15" fillId="0" borderId="95" xfId="366" applyNumberFormat="1" applyFont="1" applyBorder="1" applyAlignment="1">
      <alignment horizontal="center" vertical="center"/>
    </xf>
    <xf numFmtId="169" fontId="15" fillId="0" borderId="37" xfId="366" applyNumberFormat="1" applyFont="1" applyBorder="1" applyAlignment="1">
      <alignment horizontal="center" vertical="center"/>
    </xf>
    <xf numFmtId="0" fontId="11" fillId="26" borderId="10" xfId="226" applyFont="1" applyFill="1" applyBorder="1" applyAlignment="1">
      <alignment horizontal="center" vertical="center"/>
    </xf>
    <xf numFmtId="169" fontId="58" fillId="58" borderId="0" xfId="109" applyNumberFormat="1" applyFont="1" applyFill="1"/>
    <xf numFmtId="1" fontId="58" fillId="58" borderId="0" xfId="109" applyNumberFormat="1" applyFont="1" applyFill="1"/>
    <xf numFmtId="0" fontId="58" fillId="59" borderId="0" xfId="263" applyFont="1" applyFill="1"/>
    <xf numFmtId="169" fontId="58" fillId="59" borderId="0" xfId="109" applyNumberFormat="1" applyFont="1" applyFill="1"/>
    <xf numFmtId="0" fontId="58" fillId="59" borderId="0" xfId="366" applyFont="1" applyFill="1"/>
    <xf numFmtId="0" fontId="58" fillId="59" borderId="95" xfId="366" applyFont="1" applyFill="1" applyBorder="1" applyAlignment="1">
      <alignment horizontal="center" vertical="center"/>
    </xf>
    <xf numFmtId="0" fontId="58" fillId="59" borderId="0" xfId="366" applyFont="1" applyFill="1" applyAlignment="1">
      <alignment horizontal="center" vertical="center"/>
    </xf>
    <xf numFmtId="0" fontId="58" fillId="58" borderId="0" xfId="366" applyFont="1" applyFill="1"/>
    <xf numFmtId="0" fontId="58" fillId="58" borderId="95" xfId="366" applyFont="1" applyFill="1" applyBorder="1" applyAlignment="1">
      <alignment horizontal="center" vertical="center"/>
    </xf>
    <xf numFmtId="0" fontId="58" fillId="58" borderId="0" xfId="366" applyFont="1" applyFill="1" applyAlignment="1">
      <alignment horizontal="center" vertical="center"/>
    </xf>
    <xf numFmtId="0" fontId="11" fillId="29" borderId="95" xfId="73" applyFont="1" applyFill="1" applyBorder="1" applyAlignment="1" applyProtection="1">
      <alignment horizontal="right" vertical="center"/>
    </xf>
    <xf numFmtId="0" fontId="11" fillId="29" borderId="37" xfId="73" applyFont="1" applyFill="1" applyBorder="1" applyAlignment="1" applyProtection="1">
      <alignment horizontal="right" vertical="center"/>
    </xf>
    <xf numFmtId="0" fontId="59" fillId="0" borderId="100" xfId="109" applyFont="1" applyBorder="1" applyAlignment="1">
      <alignment vertical="center"/>
    </xf>
    <xf numFmtId="0" fontId="59" fillId="0" borderId="85" xfId="109" applyFont="1" applyBorder="1" applyAlignment="1">
      <alignment vertical="center"/>
    </xf>
    <xf numFmtId="0" fontId="60" fillId="0" borderId="23" xfId="109" applyFont="1" applyBorder="1" applyAlignment="1">
      <alignment vertical="center"/>
    </xf>
    <xf numFmtId="0" fontId="59" fillId="0" borderId="90" xfId="109" applyFont="1" applyBorder="1" applyAlignment="1">
      <alignment vertical="center"/>
    </xf>
    <xf numFmtId="0" fontId="59" fillId="0" borderId="88" xfId="109" applyFont="1" applyBorder="1" applyAlignment="1">
      <alignment vertical="center"/>
    </xf>
    <xf numFmtId="0" fontId="59" fillId="0" borderId="91" xfId="109" applyFont="1" applyBorder="1" applyAlignment="1">
      <alignment vertical="center"/>
    </xf>
    <xf numFmtId="0" fontId="59" fillId="0" borderId="107" xfId="109" applyFont="1" applyBorder="1" applyAlignment="1">
      <alignment vertical="center"/>
    </xf>
    <xf numFmtId="0" fontId="59" fillId="0" borderId="84" xfId="109" applyFont="1" applyBorder="1" applyAlignment="1">
      <alignment vertical="center"/>
    </xf>
    <xf numFmtId="1" fontId="58" fillId="0" borderId="0" xfId="109" applyNumberFormat="1" applyFont="1"/>
    <xf numFmtId="1" fontId="58" fillId="58" borderId="95" xfId="366" applyNumberFormat="1" applyFont="1" applyFill="1" applyBorder="1"/>
    <xf numFmtId="1" fontId="58" fillId="59" borderId="95" xfId="366" applyNumberFormat="1" applyFont="1" applyFill="1" applyBorder="1"/>
    <xf numFmtId="0" fontId="14" fillId="29" borderId="95" xfId="0" applyFont="1" applyFill="1" applyBorder="1" applyAlignment="1" applyProtection="1">
      <alignment horizontal="center" vertical="center"/>
      <protection locked="0"/>
    </xf>
    <xf numFmtId="169" fontId="49" fillId="26" borderId="95" xfId="105" applyNumberFormat="1" applyFont="1" applyFill="1" applyBorder="1" applyAlignment="1" applyProtection="1">
      <alignment horizontal="center" vertical="center"/>
    </xf>
    <xf numFmtId="167" fontId="11" fillId="29" borderId="95" xfId="87" applyNumberFormat="1" applyFont="1" applyFill="1" applyBorder="1" applyAlignment="1" applyProtection="1">
      <alignment horizontal="center" vertical="center"/>
      <protection locked="0"/>
    </xf>
    <xf numFmtId="0" fontId="49" fillId="27" borderId="95" xfId="0" applyFont="1" applyFill="1" applyBorder="1" applyAlignment="1">
      <alignment horizontal="center" vertical="center"/>
    </xf>
    <xf numFmtId="0" fontId="49" fillId="27" borderId="100" xfId="0" applyFont="1" applyFill="1" applyBorder="1" applyAlignment="1">
      <alignment vertical="center"/>
    </xf>
    <xf numFmtId="0" fontId="49" fillId="27" borderId="102" xfId="0" applyFont="1" applyFill="1" applyBorder="1" applyAlignment="1">
      <alignment vertical="center"/>
    </xf>
    <xf numFmtId="0" fontId="49" fillId="27" borderId="101" xfId="0" applyFont="1" applyFill="1" applyBorder="1" applyAlignment="1">
      <alignment vertical="center"/>
    </xf>
    <xf numFmtId="1" fontId="49" fillId="26" borderId="95" xfId="105" applyNumberFormat="1" applyFont="1" applyFill="1" applyBorder="1" applyAlignment="1" applyProtection="1">
      <alignment horizontal="center" vertical="center"/>
    </xf>
    <xf numFmtId="0" fontId="59" fillId="0" borderId="0" xfId="367"/>
    <xf numFmtId="0" fontId="59" fillId="0" borderId="95" xfId="367" applyBorder="1" applyAlignment="1">
      <alignment vertical="center" wrapText="1"/>
    </xf>
    <xf numFmtId="0" fontId="59" fillId="0" borderId="100" xfId="367" applyBorder="1" applyAlignment="1">
      <alignment horizontal="center" vertical="center" wrapText="1"/>
    </xf>
    <xf numFmtId="0" fontId="11" fillId="0" borderId="29" xfId="108" applyBorder="1" applyAlignment="1">
      <alignment horizontal="center" vertical="center"/>
    </xf>
    <xf numFmtId="0" fontId="59" fillId="0" borderId="90" xfId="367" applyBorder="1" applyAlignment="1">
      <alignment horizontal="center" vertical="center" wrapText="1"/>
    </xf>
    <xf numFmtId="0" fontId="11" fillId="29" borderId="29" xfId="108" applyFill="1" applyBorder="1" applyAlignment="1" applyProtection="1">
      <alignment horizontal="center" vertical="center" wrapText="1"/>
      <protection locked="0"/>
    </xf>
    <xf numFmtId="0" fontId="68" fillId="0" borderId="0" xfId="367" applyFont="1" applyAlignment="1">
      <alignment vertical="center"/>
    </xf>
    <xf numFmtId="0" fontId="15" fillId="29" borderId="0" xfId="0" applyFont="1" applyFill="1" applyAlignment="1" applyProtection="1">
      <alignment horizontal="center" vertical="center" wrapText="1"/>
      <protection locked="0"/>
    </xf>
    <xf numFmtId="0" fontId="11" fillId="0" borderId="102" xfId="0" applyFont="1" applyBorder="1" applyAlignment="1">
      <alignment vertical="center"/>
    </xf>
    <xf numFmtId="0" fontId="14" fillId="0" borderId="95" xfId="0" applyFont="1" applyBorder="1" applyAlignment="1">
      <alignment horizontal="center" vertical="center"/>
    </xf>
    <xf numFmtId="0" fontId="14" fillId="0" borderId="95" xfId="0" applyFont="1" applyBorder="1" applyAlignment="1">
      <alignment horizontal="left" vertical="center" wrapText="1"/>
    </xf>
    <xf numFmtId="0" fontId="14" fillId="0" borderId="95" xfId="0" applyFont="1" applyBorder="1" applyAlignment="1">
      <alignment vertical="center" wrapText="1"/>
    </xf>
    <xf numFmtId="0" fontId="14" fillId="0" borderId="95" xfId="0" applyFont="1" applyBorder="1" applyAlignment="1">
      <alignment vertical="center"/>
    </xf>
    <xf numFmtId="0" fontId="14" fillId="0" borderId="103" xfId="0" applyFont="1" applyBorder="1" applyAlignment="1">
      <alignment horizontal="center" vertical="center"/>
    </xf>
    <xf numFmtId="165" fontId="14" fillId="0" borderId="95" xfId="0" applyNumberFormat="1" applyFont="1" applyBorder="1" applyAlignment="1">
      <alignment horizontal="center" vertical="center"/>
    </xf>
    <xf numFmtId="0" fontId="14" fillId="0" borderId="95" xfId="0" applyFont="1" applyBorder="1" applyAlignment="1">
      <alignment horizontal="center" vertical="center" wrapText="1"/>
    </xf>
    <xf numFmtId="0" fontId="25" fillId="0" borderId="95" xfId="0" applyFont="1" applyBorder="1" applyAlignment="1">
      <alignment horizontal="center" vertical="center" wrapText="1"/>
    </xf>
    <xf numFmtId="0" fontId="14" fillId="0" borderId="83" xfId="0" applyFont="1" applyBorder="1" applyAlignment="1">
      <alignment horizontal="center" vertical="center"/>
    </xf>
    <xf numFmtId="0" fontId="22" fillId="0" borderId="113" xfId="108" applyFont="1" applyBorder="1" applyAlignment="1">
      <alignment horizontal="center" vertical="center" wrapText="1"/>
    </xf>
    <xf numFmtId="1" fontId="15" fillId="26" borderId="114" xfId="0" applyNumberFormat="1" applyFont="1" applyFill="1" applyBorder="1" applyAlignment="1">
      <alignment horizontal="center" vertical="center" wrapText="1"/>
    </xf>
    <xf numFmtId="0" fontId="11" fillId="0" borderId="99" xfId="0" applyFont="1" applyBorder="1" applyAlignment="1">
      <alignment vertical="center"/>
    </xf>
    <xf numFmtId="0" fontId="11" fillId="0" borderId="100" xfId="108" applyBorder="1" applyAlignment="1">
      <alignment horizontal="center" vertical="center" wrapText="1"/>
    </xf>
    <xf numFmtId="0" fontId="11" fillId="0" borderId="112" xfId="108" applyBorder="1" applyAlignment="1">
      <alignment horizontal="center" vertical="center" wrapText="1"/>
    </xf>
    <xf numFmtId="0" fontId="11" fillId="0" borderId="29" xfId="108" applyBorder="1" applyAlignment="1">
      <alignment horizontal="center" vertical="center" wrapText="1"/>
    </xf>
    <xf numFmtId="0" fontId="11" fillId="0" borderId="101" xfId="108" applyBorder="1" applyAlignment="1">
      <alignment horizontal="center" vertical="center"/>
    </xf>
    <xf numFmtId="0" fontId="11" fillId="0" borderId="49" xfId="108" applyBorder="1" applyAlignment="1">
      <alignment horizontal="center" vertical="center"/>
    </xf>
    <xf numFmtId="1" fontId="15" fillId="26" borderId="29" xfId="108" applyNumberFormat="1" applyFont="1" applyFill="1" applyBorder="1" applyAlignment="1">
      <alignment horizontal="center" vertical="center"/>
    </xf>
    <xf numFmtId="0" fontId="11" fillId="29" borderId="29" xfId="72" applyFont="1" applyFill="1" applyBorder="1" applyAlignment="1" applyProtection="1">
      <alignment horizontal="center" vertical="center"/>
      <protection locked="0"/>
    </xf>
    <xf numFmtId="0" fontId="14" fillId="0" borderId="0" xfId="0" applyFont="1" applyAlignment="1">
      <alignment horizontal="center" vertical="center" wrapText="1"/>
    </xf>
    <xf numFmtId="0" fontId="11" fillId="26" borderId="95" xfId="226" applyFont="1" applyFill="1" applyBorder="1" applyAlignment="1">
      <alignment horizontal="center" vertical="center"/>
    </xf>
    <xf numFmtId="0" fontId="59" fillId="0" borderId="105" xfId="109" applyFont="1" applyBorder="1" applyAlignment="1">
      <alignment vertical="center"/>
    </xf>
    <xf numFmtId="169" fontId="61" fillId="29" borderId="95" xfId="622" applyNumberFormat="1" applyFont="1" applyFill="1" applyBorder="1" applyAlignment="1" applyProtection="1">
      <alignment horizontal="right" vertical="center"/>
      <protection locked="0"/>
    </xf>
    <xf numFmtId="169" fontId="61" fillId="29" borderId="110" xfId="622" applyNumberFormat="1" applyFont="1" applyFill="1" applyBorder="1" applyAlignment="1" applyProtection="1">
      <alignment horizontal="right" vertical="center"/>
      <protection locked="0"/>
    </xf>
    <xf numFmtId="0" fontId="11" fillId="0" borderId="84" xfId="108" applyBorder="1" applyAlignment="1">
      <alignment horizontal="center" vertical="center" wrapText="1"/>
    </xf>
    <xf numFmtId="0" fontId="45" fillId="34" borderId="78" xfId="0" applyFont="1" applyFill="1" applyBorder="1" applyAlignment="1">
      <alignment horizontal="center" vertical="center" wrapText="1"/>
    </xf>
    <xf numFmtId="0" fontId="45" fillId="36" borderId="62" xfId="0" applyFont="1" applyFill="1" applyBorder="1" applyAlignment="1">
      <alignment horizontal="center" vertical="center" wrapText="1"/>
    </xf>
    <xf numFmtId="0" fontId="45" fillId="23" borderId="62" xfId="0" applyFont="1" applyFill="1" applyBorder="1" applyAlignment="1">
      <alignment horizontal="center" vertical="center" wrapText="1"/>
    </xf>
    <xf numFmtId="0" fontId="14" fillId="0" borderId="0" xfId="0" applyFont="1" applyAlignment="1">
      <alignment horizontal="center" vertical="center"/>
    </xf>
    <xf numFmtId="165" fontId="14" fillId="0" borderId="0" xfId="0" applyNumberFormat="1" applyFont="1" applyAlignment="1">
      <alignment horizontal="center" vertical="center"/>
    </xf>
    <xf numFmtId="0" fontId="14" fillId="0" borderId="28" xfId="0" applyFont="1" applyBorder="1" applyAlignment="1">
      <alignment horizontal="center" vertical="center" wrapText="1"/>
    </xf>
    <xf numFmtId="0" fontId="14" fillId="0" borderId="32" xfId="0" applyFont="1" applyBorder="1" applyAlignment="1">
      <alignment horizontal="center" vertical="center"/>
    </xf>
    <xf numFmtId="0" fontId="49" fillId="0" borderId="34" xfId="0" applyFont="1" applyBorder="1" applyAlignment="1">
      <alignment vertical="center"/>
    </xf>
    <xf numFmtId="0" fontId="59" fillId="0" borderId="120" xfId="109" applyFont="1" applyBorder="1" applyAlignment="1">
      <alignment vertical="center"/>
    </xf>
    <xf numFmtId="0" fontId="59" fillId="0" borderId="20" xfId="109" applyFont="1" applyBorder="1" applyAlignment="1">
      <alignment vertical="center"/>
    </xf>
    <xf numFmtId="0" fontId="79" fillId="0" borderId="30" xfId="109" applyFont="1" applyBorder="1" applyAlignment="1">
      <alignment vertical="center"/>
    </xf>
    <xf numFmtId="0" fontId="60" fillId="0" borderId="20" xfId="109" applyFont="1" applyBorder="1" applyAlignment="1">
      <alignment vertical="center"/>
    </xf>
    <xf numFmtId="0" fontId="51" fillId="0" borderId="29" xfId="72" applyFont="1" applyFill="1" applyBorder="1" applyAlignment="1" applyProtection="1">
      <alignment horizontal="center" vertical="center"/>
    </xf>
    <xf numFmtId="0" fontId="49" fillId="29" borderId="56" xfId="72" applyFont="1" applyFill="1" applyBorder="1" applyAlignment="1" applyProtection="1">
      <alignment horizontal="center" vertical="center" wrapText="1"/>
      <protection locked="0"/>
    </xf>
    <xf numFmtId="0" fontId="11" fillId="0" borderId="57" xfId="108" applyBorder="1" applyAlignment="1">
      <alignment horizontal="center" vertical="center"/>
    </xf>
    <xf numFmtId="0" fontId="51" fillId="0" borderId="0" xfId="123" applyFont="1"/>
    <xf numFmtId="0" fontId="15" fillId="0" borderId="0" xfId="0" applyFont="1" applyAlignment="1">
      <alignment vertical="center"/>
    </xf>
    <xf numFmtId="0" fontId="11" fillId="0" borderId="0" xfId="123" applyFont="1"/>
    <xf numFmtId="0" fontId="92" fillId="0" borderId="0" xfId="123" applyFont="1"/>
    <xf numFmtId="0" fontId="51" fillId="0" borderId="14" xfId="123" applyFont="1" applyBorder="1"/>
    <xf numFmtId="0" fontId="51" fillId="27" borderId="62" xfId="123" applyFont="1" applyFill="1" applyBorder="1"/>
    <xf numFmtId="0" fontId="51" fillId="27" borderId="34" xfId="123" applyFont="1" applyFill="1" applyBorder="1"/>
    <xf numFmtId="0" fontId="51" fillId="27" borderId="57" xfId="123" applyFont="1" applyFill="1" applyBorder="1"/>
    <xf numFmtId="0" fontId="51" fillId="0" borderId="36" xfId="123" applyFont="1" applyBorder="1"/>
    <xf numFmtId="0" fontId="51" fillId="0" borderId="34" xfId="123" applyFont="1" applyBorder="1"/>
    <xf numFmtId="0" fontId="51" fillId="0" borderId="35" xfId="123" applyFont="1" applyBorder="1"/>
    <xf numFmtId="0" fontId="11" fillId="0" borderId="103" xfId="0" applyFont="1" applyBorder="1" applyAlignment="1">
      <alignment vertical="center"/>
    </xf>
    <xf numFmtId="0" fontId="51" fillId="0" borderId="108" xfId="123" applyFont="1" applyBorder="1"/>
    <xf numFmtId="0" fontId="14" fillId="0" borderId="21" xfId="123" applyFont="1" applyBorder="1"/>
    <xf numFmtId="0" fontId="51" fillId="0" borderId="23" xfId="123" applyFont="1" applyBorder="1"/>
    <xf numFmtId="0" fontId="51" fillId="0" borderId="25" xfId="123" applyFont="1" applyBorder="1"/>
    <xf numFmtId="0" fontId="51" fillId="0" borderId="15" xfId="123" applyFont="1" applyBorder="1"/>
    <xf numFmtId="0" fontId="93" fillId="0" borderId="0" xfId="123" applyFont="1"/>
    <xf numFmtId="0" fontId="51" fillId="0" borderId="106" xfId="123" applyFont="1" applyBorder="1"/>
    <xf numFmtId="0" fontId="11" fillId="0" borderId="95" xfId="0" applyFont="1" applyBorder="1" applyAlignment="1">
      <alignment vertical="center"/>
    </xf>
    <xf numFmtId="0" fontId="51" fillId="0" borderId="72" xfId="123" applyFont="1" applyBorder="1"/>
    <xf numFmtId="0" fontId="12" fillId="0" borderId="104" xfId="123" applyFont="1" applyBorder="1"/>
    <xf numFmtId="0" fontId="51" fillId="0" borderId="102" xfId="123" applyFont="1" applyBorder="1"/>
    <xf numFmtId="0" fontId="51" fillId="0" borderId="107" xfId="123" applyFont="1" applyBorder="1"/>
    <xf numFmtId="0" fontId="51" fillId="27" borderId="0" xfId="123" applyFont="1" applyFill="1"/>
    <xf numFmtId="0" fontId="51" fillId="27" borderId="102" xfId="123" applyFont="1" applyFill="1" applyBorder="1"/>
    <xf numFmtId="0" fontId="12" fillId="0" borderId="0" xfId="123" applyFont="1"/>
    <xf numFmtId="0" fontId="14" fillId="0" borderId="53" xfId="0" applyFont="1" applyBorder="1" applyAlignment="1">
      <alignment vertical="center"/>
    </xf>
    <xf numFmtId="0" fontId="51" fillId="0" borderId="46" xfId="123" applyFont="1" applyBorder="1"/>
    <xf numFmtId="0" fontId="51" fillId="0" borderId="24" xfId="123" applyFont="1" applyBorder="1"/>
    <xf numFmtId="0" fontId="51" fillId="27" borderId="101" xfId="123" applyFont="1" applyFill="1" applyBorder="1"/>
    <xf numFmtId="0" fontId="11" fillId="0" borderId="0" xfId="123" applyFont="1" applyAlignment="1">
      <alignment horizontal="left" vertical="center"/>
    </xf>
    <xf numFmtId="0" fontId="51" fillId="0" borderId="93" xfId="123" applyFont="1" applyBorder="1"/>
    <xf numFmtId="0" fontId="51" fillId="0" borderId="0" xfId="123" applyFont="1" applyAlignment="1">
      <alignment horizontal="center" vertical="center"/>
    </xf>
    <xf numFmtId="0" fontId="13" fillId="0" borderId="0" xfId="123" applyFont="1" applyAlignment="1">
      <alignment horizontal="center"/>
    </xf>
    <xf numFmtId="0" fontId="51" fillId="0" borderId="40" xfId="123" applyFont="1" applyBorder="1" applyAlignment="1">
      <alignment horizontal="center" vertical="center"/>
    </xf>
    <xf numFmtId="0" fontId="11" fillId="0" borderId="0" xfId="123" applyFont="1" applyAlignment="1">
      <alignment horizontal="center" vertical="center"/>
    </xf>
    <xf numFmtId="0" fontId="51" fillId="0" borderId="95" xfId="123" applyFont="1" applyBorder="1" applyAlignment="1">
      <alignment horizontal="center" vertical="center"/>
    </xf>
    <xf numFmtId="0" fontId="51" fillId="0" borderId="110" xfId="123" applyFont="1" applyBorder="1" applyAlignment="1">
      <alignment horizontal="center" vertical="center"/>
    </xf>
    <xf numFmtId="0" fontId="11" fillId="0" borderId="0" xfId="123" applyFont="1" applyAlignment="1">
      <alignment vertical="center"/>
    </xf>
    <xf numFmtId="0" fontId="51" fillId="0" borderId="93" xfId="123" applyFont="1" applyBorder="1" applyAlignment="1">
      <alignment horizontal="left" vertical="center"/>
    </xf>
    <xf numFmtId="0" fontId="51" fillId="0" borderId="21" xfId="123" applyFont="1" applyBorder="1" applyAlignment="1">
      <alignment horizontal="left" vertical="center"/>
    </xf>
    <xf numFmtId="0" fontId="51" fillId="0" borderId="21" xfId="123" applyFont="1" applyBorder="1" applyAlignment="1">
      <alignment horizontal="center" vertical="center"/>
    </xf>
    <xf numFmtId="0" fontId="51" fillId="27" borderId="102" xfId="123" applyFont="1" applyFill="1" applyBorder="1" applyAlignment="1">
      <alignment horizontal="center" vertical="center"/>
    </xf>
    <xf numFmtId="0" fontId="13" fillId="27" borderId="102" xfId="123" applyFont="1" applyFill="1" applyBorder="1" applyAlignment="1">
      <alignment horizontal="center"/>
    </xf>
    <xf numFmtId="2" fontId="51" fillId="27" borderId="102" xfId="123" applyNumberFormat="1" applyFont="1" applyFill="1" applyBorder="1" applyAlignment="1">
      <alignment horizontal="center" vertical="center"/>
    </xf>
    <xf numFmtId="0" fontId="51" fillId="27" borderId="101" xfId="123" applyFont="1" applyFill="1" applyBorder="1" applyAlignment="1">
      <alignment horizontal="center" vertical="center"/>
    </xf>
    <xf numFmtId="1" fontId="15" fillId="0" borderId="33" xfId="123" applyNumberFormat="1" applyFont="1" applyBorder="1"/>
    <xf numFmtId="0" fontId="66" fillId="0" borderId="0" xfId="123" applyFont="1"/>
    <xf numFmtId="0" fontId="62" fillId="0" borderId="16" xfId="1109" applyFont="1" applyBorder="1" applyAlignment="1">
      <alignment vertical="center"/>
    </xf>
    <xf numFmtId="0" fontId="62" fillId="0" borderId="79" xfId="1109" applyFont="1" applyBorder="1" applyAlignment="1">
      <alignment horizontal="center" vertical="center"/>
    </xf>
    <xf numFmtId="0" fontId="62" fillId="0" borderId="74" xfId="1109" applyFont="1" applyBorder="1" applyAlignment="1">
      <alignment horizontal="center" vertical="center"/>
    </xf>
    <xf numFmtId="0" fontId="62" fillId="0" borderId="103" xfId="1109" applyFont="1" applyBorder="1" applyAlignment="1">
      <alignment vertical="center"/>
    </xf>
    <xf numFmtId="1" fontId="15" fillId="0" borderId="95" xfId="1110" applyNumberFormat="1" applyFont="1" applyBorder="1" applyAlignment="1">
      <alignment horizontal="center" vertical="center"/>
    </xf>
    <xf numFmtId="0" fontId="60" fillId="0" borderId="90" xfId="1109" applyFont="1" applyBorder="1" applyAlignment="1">
      <alignment horizontal="center" vertical="center"/>
    </xf>
    <xf numFmtId="0" fontId="0" fillId="0" borderId="95" xfId="0" applyBorder="1" applyAlignment="1">
      <alignment vertical="center"/>
    </xf>
    <xf numFmtId="0" fontId="58" fillId="0" borderId="102" xfId="123" applyFont="1" applyBorder="1"/>
    <xf numFmtId="0" fontId="58" fillId="0" borderId="99" xfId="123" applyFont="1" applyBorder="1"/>
    <xf numFmtId="0" fontId="59" fillId="0" borderId="0" xfId="123" applyFont="1" applyAlignment="1">
      <alignment vertical="center"/>
    </xf>
    <xf numFmtId="1" fontId="49" fillId="26" borderId="95" xfId="105" applyNumberFormat="1" applyFont="1" applyFill="1" applyBorder="1" applyAlignment="1">
      <alignment horizontal="center" vertical="center"/>
    </xf>
    <xf numFmtId="0" fontId="59" fillId="0" borderId="15" xfId="123" applyFont="1" applyBorder="1" applyAlignment="1">
      <alignment vertical="center" wrapText="1"/>
    </xf>
    <xf numFmtId="0" fontId="59" fillId="0" borderId="15" xfId="123" applyFont="1" applyBorder="1" applyAlignment="1">
      <alignment vertical="center"/>
    </xf>
    <xf numFmtId="0" fontId="0" fillId="0" borderId="99" xfId="123" applyFont="1" applyBorder="1" applyAlignment="1" applyProtection="1">
      <alignment horizontal="left" vertical="center" wrapText="1"/>
      <protection locked="0"/>
    </xf>
    <xf numFmtId="0" fontId="22" fillId="0" borderId="100" xfId="1111" applyFont="1" applyBorder="1" applyAlignment="1">
      <alignment vertical="center" wrapText="1"/>
    </xf>
    <xf numFmtId="1" fontId="58" fillId="58" borderId="0" xfId="366" applyNumberFormat="1" applyFont="1" applyFill="1"/>
    <xf numFmtId="1" fontId="58" fillId="59" borderId="0" xfId="109" applyNumberFormat="1" applyFont="1" applyFill="1"/>
    <xf numFmtId="1" fontId="58" fillId="59" borderId="0" xfId="366" applyNumberFormat="1" applyFont="1" applyFill="1"/>
    <xf numFmtId="1" fontId="58" fillId="59" borderId="0" xfId="263" applyNumberFormat="1" applyFont="1" applyFill="1"/>
    <xf numFmtId="1" fontId="58" fillId="59" borderId="95" xfId="109" applyNumberFormat="1" applyFont="1" applyFill="1" applyBorder="1"/>
    <xf numFmtId="1" fontId="58" fillId="58" borderId="95" xfId="109" applyNumberFormat="1" applyFont="1" applyFill="1" applyBorder="1"/>
    <xf numFmtId="0" fontId="14" fillId="0" borderId="40" xfId="0" applyFont="1" applyBorder="1" applyAlignment="1">
      <alignment vertical="center" wrapText="1"/>
    </xf>
    <xf numFmtId="1" fontId="15" fillId="29" borderId="88" xfId="0" applyNumberFormat="1" applyFont="1" applyFill="1" applyBorder="1" applyAlignment="1" applyProtection="1">
      <alignment horizontal="center" vertical="center" wrapText="1"/>
      <protection locked="0"/>
    </xf>
    <xf numFmtId="0" fontId="15" fillId="29" borderId="90" xfId="0" applyFont="1" applyFill="1" applyBorder="1" applyAlignment="1" applyProtection="1">
      <alignment horizontal="center" vertical="center" wrapText="1"/>
      <protection locked="0"/>
    </xf>
    <xf numFmtId="0" fontId="11" fillId="0" borderId="0" xfId="1111" applyAlignment="1">
      <alignment wrapText="1"/>
    </xf>
    <xf numFmtId="0" fontId="11" fillId="0" borderId="0" xfId="1111" applyAlignment="1" applyProtection="1">
      <alignment vertical="center" wrapText="1"/>
      <protection locked="0"/>
    </xf>
    <xf numFmtId="0" fontId="11" fillId="0" borderId="0" xfId="1111" applyAlignment="1">
      <alignment horizontal="center" wrapText="1"/>
    </xf>
    <xf numFmtId="0" fontId="59" fillId="0" borderId="0" xfId="367" applyAlignment="1">
      <alignment horizontal="center" vertical="center"/>
    </xf>
    <xf numFmtId="0" fontId="11" fillId="0" borderId="0" xfId="108" applyAlignment="1">
      <alignment horizontal="center"/>
    </xf>
    <xf numFmtId="0" fontId="11" fillId="0" borderId="95" xfId="0" applyFont="1" applyBorder="1" applyAlignment="1" applyProtection="1">
      <alignment horizontal="center" vertical="center" wrapText="1"/>
      <protection locked="0"/>
    </xf>
    <xf numFmtId="0" fontId="11" fillId="0" borderId="95" xfId="108" applyBorder="1" applyAlignment="1">
      <alignment horizontal="center" vertical="center"/>
    </xf>
    <xf numFmtId="0" fontId="12" fillId="0" borderId="0" xfId="108" applyFont="1" applyAlignment="1">
      <alignment horizontal="center" vertical="center" wrapText="1"/>
    </xf>
    <xf numFmtId="0" fontId="11" fillId="0" borderId="99" xfId="123" applyFont="1" applyBorder="1" applyAlignment="1">
      <alignment horizontal="center" vertical="center"/>
    </xf>
    <xf numFmtId="0" fontId="11" fillId="0" borderId="99" xfId="123" applyFont="1" applyBorder="1" applyAlignment="1" applyProtection="1">
      <alignment horizontal="center" vertical="center" wrapText="1"/>
      <protection locked="0"/>
    </xf>
    <xf numFmtId="0" fontId="11" fillId="0" borderId="99" xfId="123" applyFont="1" applyBorder="1" applyAlignment="1" applyProtection="1">
      <alignment horizontal="center" vertical="center"/>
      <protection locked="0"/>
    </xf>
    <xf numFmtId="0" fontId="11" fillId="0" borderId="95" xfId="123" applyFont="1" applyBorder="1" applyAlignment="1" applyProtection="1">
      <alignment horizontal="center" vertical="center"/>
      <protection locked="0"/>
    </xf>
    <xf numFmtId="0" fontId="11" fillId="0" borderId="43" xfId="108" applyBorder="1" applyAlignment="1">
      <alignment horizontal="center" vertical="center"/>
    </xf>
    <xf numFmtId="0" fontId="12" fillId="0" borderId="0" xfId="108" applyFont="1" applyAlignment="1">
      <alignment horizontal="center" vertical="center"/>
    </xf>
    <xf numFmtId="0" fontId="59" fillId="0" borderId="99" xfId="109" applyFont="1" applyBorder="1" applyAlignment="1">
      <alignment horizontal="center" vertical="center" wrapText="1"/>
    </xf>
    <xf numFmtId="0" fontId="59" fillId="0" borderId="99" xfId="109" applyFont="1" applyBorder="1" applyAlignment="1">
      <alignment horizontal="center" vertical="center"/>
    </xf>
    <xf numFmtId="0" fontId="77" fillId="0" borderId="0" xfId="109" applyFont="1" applyAlignment="1">
      <alignment horizontal="center" vertical="center"/>
    </xf>
    <xf numFmtId="0" fontId="58" fillId="0" borderId="0" xfId="109" applyFont="1" applyAlignment="1">
      <alignment horizontal="center" vertical="center"/>
    </xf>
    <xf numFmtId="0" fontId="70" fillId="0" borderId="99" xfId="109" applyFont="1" applyBorder="1" applyAlignment="1">
      <alignment horizontal="center" vertical="center"/>
    </xf>
    <xf numFmtId="0" fontId="58" fillId="0" borderId="45" xfId="109" applyFont="1" applyBorder="1" applyAlignment="1">
      <alignment horizontal="center" vertical="center"/>
    </xf>
    <xf numFmtId="0" fontId="59" fillId="0" borderId="43" xfId="109" applyFont="1" applyBorder="1" applyAlignment="1">
      <alignment horizontal="center" vertical="center"/>
    </xf>
    <xf numFmtId="0" fontId="58" fillId="0" borderId="0" xfId="110" applyFont="1" applyAlignment="1">
      <alignment horizontal="center" vertical="center"/>
    </xf>
    <xf numFmtId="0" fontId="58" fillId="0" borderId="0" xfId="110" applyFont="1" applyAlignment="1">
      <alignment horizontal="center" vertical="center" wrapText="1"/>
    </xf>
    <xf numFmtId="0" fontId="15" fillId="0" borderId="0" xfId="108" applyFont="1" applyAlignment="1">
      <alignment horizontal="center" vertical="center" wrapText="1"/>
    </xf>
    <xf numFmtId="0" fontId="11" fillId="0" borderId="43" xfId="108" applyBorder="1" applyAlignment="1">
      <alignment horizontal="center" vertical="center" wrapText="1"/>
    </xf>
    <xf numFmtId="0" fontId="14" fillId="0" borderId="0" xfId="108" applyFont="1" applyAlignment="1">
      <alignment horizontal="center" vertical="center" wrapText="1"/>
    </xf>
    <xf numFmtId="164" fontId="11" fillId="0" borderId="0" xfId="1111" applyNumberFormat="1" applyAlignment="1">
      <alignment horizontal="center" vertical="center" wrapText="1"/>
    </xf>
    <xf numFmtId="0" fontId="11" fillId="0" borderId="91" xfId="108" applyBorder="1" applyAlignment="1">
      <alignment horizontal="center" vertical="center" wrapText="1"/>
    </xf>
    <xf numFmtId="0" fontId="12" fillId="0" borderId="93" xfId="108" applyFont="1" applyBorder="1" applyAlignment="1">
      <alignment horizontal="center" vertical="center"/>
    </xf>
    <xf numFmtId="1" fontId="15" fillId="0" borderId="0" xfId="123" applyNumberFormat="1" applyFont="1" applyAlignment="1">
      <alignment horizontal="center"/>
    </xf>
    <xf numFmtId="1" fontId="49" fillId="26" borderId="95" xfId="60" applyNumberFormat="1" applyFont="1" applyFill="1" applyBorder="1" applyAlignment="1">
      <alignment horizontal="center" vertical="center"/>
    </xf>
    <xf numFmtId="0" fontId="11" fillId="0" borderId="95" xfId="108" applyBorder="1" applyAlignment="1" applyProtection="1">
      <alignment horizontal="center" vertical="center" wrapText="1"/>
      <protection locked="0"/>
    </xf>
    <xf numFmtId="0" fontId="11" fillId="0" borderId="43" xfId="108" applyBorder="1" applyAlignment="1" applyProtection="1">
      <alignment horizontal="center" vertical="center" wrapText="1"/>
      <protection locked="0"/>
    </xf>
    <xf numFmtId="0" fontId="11" fillId="0" borderId="99" xfId="108" applyBorder="1" applyAlignment="1" applyProtection="1">
      <alignment horizontal="center" vertical="center" wrapText="1"/>
      <protection locked="0"/>
    </xf>
    <xf numFmtId="0" fontId="11" fillId="0" borderId="103" xfId="109" applyFont="1" applyBorder="1" applyAlignment="1" applyProtection="1">
      <alignment horizontal="center" vertical="center" wrapText="1"/>
      <protection locked="0"/>
    </xf>
    <xf numFmtId="0" fontId="51" fillId="0" borderId="103" xfId="109" applyFont="1" applyBorder="1" applyAlignment="1" applyProtection="1">
      <alignment horizontal="center"/>
      <protection locked="0"/>
    </xf>
    <xf numFmtId="0" fontId="59" fillId="0" borderId="29" xfId="109" applyFont="1" applyBorder="1" applyAlignment="1">
      <alignment horizontal="center" vertical="center" wrapText="1"/>
    </xf>
    <xf numFmtId="0" fontId="56" fillId="0" borderId="29" xfId="109" applyBorder="1" applyAlignment="1">
      <alignment horizontal="center"/>
    </xf>
    <xf numFmtId="0" fontId="59" fillId="0" borderId="19" xfId="109" applyFont="1" applyBorder="1" applyAlignment="1">
      <alignment horizontal="center" vertical="center" wrapText="1"/>
    </xf>
    <xf numFmtId="0" fontId="77" fillId="0" borderId="26" xfId="109" applyFont="1" applyBorder="1" applyAlignment="1">
      <alignment horizontal="center" vertical="center" wrapText="1"/>
    </xf>
    <xf numFmtId="0" fontId="11" fillId="0" borderId="29" xfId="109" applyFont="1" applyBorder="1" applyAlignment="1">
      <alignment horizontal="center" vertical="center" wrapText="1"/>
    </xf>
    <xf numFmtId="0" fontId="92" fillId="0" borderId="29" xfId="109" applyFont="1" applyBorder="1" applyAlignment="1">
      <alignment horizontal="center"/>
    </xf>
    <xf numFmtId="0" fontId="11" fillId="0" borderId="26" xfId="109" applyFont="1" applyBorder="1" applyAlignment="1">
      <alignment horizontal="center" vertical="center" wrapText="1"/>
    </xf>
    <xf numFmtId="0" fontId="59" fillId="0" borderId="87" xfId="109" applyFont="1" applyBorder="1" applyAlignment="1">
      <alignment horizontal="center" vertical="center"/>
    </xf>
    <xf numFmtId="0" fontId="59" fillId="0" borderId="56" xfId="109" applyFont="1" applyBorder="1" applyAlignment="1">
      <alignment horizontal="center" vertical="center"/>
    </xf>
    <xf numFmtId="0" fontId="11" fillId="0" borderId="95" xfId="1111" applyBorder="1" applyAlignment="1" applyProtection="1">
      <alignment horizontal="center" vertical="center" wrapText="1"/>
      <protection locked="0"/>
    </xf>
    <xf numFmtId="0" fontId="11" fillId="0" borderId="92" xfId="108" applyBorder="1" applyAlignment="1" applyProtection="1">
      <alignment horizontal="center" vertical="center" wrapText="1"/>
      <protection locked="0"/>
    </xf>
    <xf numFmtId="0" fontId="59" fillId="0" borderId="0" xfId="0" applyFont="1" applyAlignment="1">
      <alignment wrapText="1"/>
    </xf>
    <xf numFmtId="0" fontId="11" fillId="0" borderId="87" xfId="108" applyBorder="1" applyAlignment="1" applyProtection="1">
      <alignment horizontal="center" vertical="center" wrapText="1"/>
      <protection locked="0"/>
    </xf>
    <xf numFmtId="0" fontId="49" fillId="0" borderId="0" xfId="0" applyFont="1" applyAlignment="1">
      <alignment vertical="center" wrapText="1"/>
    </xf>
    <xf numFmtId="0" fontId="11" fillId="0" borderId="21" xfId="0" applyFont="1" applyBorder="1" applyAlignment="1">
      <alignment vertical="center"/>
    </xf>
    <xf numFmtId="0" fontId="11" fillId="0" borderId="43"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43" xfId="0" applyFont="1" applyBorder="1" applyAlignment="1">
      <alignment horizontal="center" vertical="center"/>
    </xf>
    <xf numFmtId="0" fontId="11" fillId="0" borderId="99" xfId="0" applyFont="1" applyBorder="1" applyAlignment="1">
      <alignment horizontal="center" vertical="center"/>
    </xf>
    <xf numFmtId="0" fontId="11" fillId="0" borderId="102" xfId="0" applyFont="1" applyBorder="1" applyAlignment="1">
      <alignment horizontal="center" vertical="center"/>
    </xf>
    <xf numFmtId="0" fontId="12" fillId="0" borderId="43" xfId="0" applyFont="1" applyBorder="1" applyAlignment="1">
      <alignment horizontal="center" vertical="center"/>
    </xf>
    <xf numFmtId="0" fontId="11" fillId="0" borderId="18" xfId="0" applyFont="1" applyBorder="1" applyAlignment="1">
      <alignment horizontal="center" vertical="center"/>
    </xf>
    <xf numFmtId="0" fontId="11" fillId="0" borderId="54" xfId="0" applyFont="1" applyBorder="1" applyAlignment="1">
      <alignment horizontal="center" vertical="center"/>
    </xf>
    <xf numFmtId="0" fontId="14" fillId="0" borderId="119" xfId="0" applyFont="1" applyBorder="1" applyAlignment="1">
      <alignment horizontal="center" vertical="center"/>
    </xf>
    <xf numFmtId="0" fontId="14" fillId="0" borderId="119" xfId="0" applyFont="1" applyBorder="1" applyAlignment="1">
      <alignment horizontal="center" vertical="center" wrapText="1"/>
    </xf>
    <xf numFmtId="0" fontId="14" fillId="0" borderId="119" xfId="0" applyFont="1" applyBorder="1" applyAlignment="1">
      <alignment vertical="center"/>
    </xf>
    <xf numFmtId="1" fontId="45" fillId="33" borderId="61" xfId="108" applyNumberFormat="1" applyFont="1" applyFill="1" applyBorder="1" applyAlignment="1">
      <alignment horizontal="center" vertical="center"/>
    </xf>
    <xf numFmtId="0" fontId="46" fillId="0" borderId="95" xfId="0" applyFont="1" applyBorder="1" applyAlignment="1">
      <alignment horizontal="center" vertical="center"/>
    </xf>
    <xf numFmtId="0" fontId="11" fillId="0" borderId="21" xfId="0" applyFont="1" applyBorder="1" applyAlignment="1">
      <alignment horizontal="center" vertical="center"/>
    </xf>
    <xf numFmtId="1" fontId="15" fillId="26" borderId="102" xfId="0" applyNumberFormat="1" applyFont="1" applyFill="1" applyBorder="1" applyAlignment="1">
      <alignment horizontal="center" vertical="center" wrapText="1"/>
    </xf>
    <xf numFmtId="0" fontId="11" fillId="0" borderId="54" xfId="0" applyFont="1" applyBorder="1" applyAlignment="1">
      <alignment vertical="center"/>
    </xf>
    <xf numFmtId="0" fontId="14" fillId="61" borderId="95" xfId="367" applyFont="1" applyFill="1" applyBorder="1" applyAlignment="1">
      <alignment horizontal="left" vertical="center" wrapText="1"/>
    </xf>
    <xf numFmtId="0" fontId="14" fillId="26" borderId="95" xfId="367" applyFont="1" applyFill="1" applyBorder="1" applyAlignment="1">
      <alignment horizontal="center" vertical="center" wrapText="1"/>
    </xf>
    <xf numFmtId="0" fontId="14" fillId="28" borderId="61" xfId="1111" applyFont="1" applyFill="1" applyBorder="1" applyAlignment="1">
      <alignment horizontal="center" vertical="center" wrapText="1"/>
    </xf>
    <xf numFmtId="0" fontId="11" fillId="29" borderId="74" xfId="1111" applyFill="1" applyBorder="1" applyAlignment="1">
      <alignment horizontal="center" vertical="center" wrapText="1"/>
    </xf>
    <xf numFmtId="0" fontId="14" fillId="28" borderId="76" xfId="1111" applyFont="1" applyFill="1" applyBorder="1" applyAlignment="1">
      <alignment horizontal="center" vertical="center" wrapText="1"/>
    </xf>
    <xf numFmtId="0" fontId="11" fillId="29" borderId="84" xfId="1111" applyFill="1" applyBorder="1" applyAlignment="1">
      <alignment horizontal="center" vertical="center" wrapText="1"/>
    </xf>
    <xf numFmtId="0" fontId="14" fillId="28" borderId="12" xfId="1111" applyFont="1" applyFill="1" applyBorder="1" applyAlignment="1">
      <alignment horizontal="center" vertical="center" wrapText="1"/>
    </xf>
    <xf numFmtId="9" fontId="14" fillId="26" borderId="52" xfId="1111" applyNumberFormat="1" applyFont="1" applyFill="1" applyBorder="1" applyAlignment="1">
      <alignment horizontal="center" vertical="center" wrapText="1"/>
    </xf>
    <xf numFmtId="1" fontId="15" fillId="26" borderId="12" xfId="108" applyNumberFormat="1" applyFont="1" applyFill="1" applyBorder="1" applyAlignment="1">
      <alignment horizontal="center" vertical="center"/>
    </xf>
    <xf numFmtId="1" fontId="15" fillId="26" borderId="13" xfId="108" applyNumberFormat="1" applyFont="1" applyFill="1" applyBorder="1" applyAlignment="1">
      <alignment horizontal="center" vertical="center"/>
    </xf>
    <xf numFmtId="0" fontId="11" fillId="27" borderId="108" xfId="108" applyFill="1" applyBorder="1" applyAlignment="1">
      <alignment horizontal="center" vertical="center" wrapText="1"/>
    </xf>
    <xf numFmtId="0" fontId="11" fillId="58" borderId="29" xfId="72" applyFont="1" applyFill="1" applyBorder="1" applyAlignment="1" applyProtection="1">
      <alignment horizontal="center" vertical="center" wrapText="1"/>
      <protection locked="0"/>
    </xf>
    <xf numFmtId="0" fontId="11" fillId="27" borderId="95" xfId="108" applyFill="1" applyBorder="1" applyAlignment="1">
      <alignment vertical="center" wrapText="1"/>
    </xf>
    <xf numFmtId="0" fontId="11" fillId="27" borderId="90" xfId="108" applyFill="1" applyBorder="1" applyAlignment="1">
      <alignment horizontal="center" vertical="center" wrapText="1"/>
    </xf>
    <xf numFmtId="0" fontId="14" fillId="62" borderId="95" xfId="367" applyFont="1" applyFill="1" applyBorder="1" applyAlignment="1" applyProtection="1">
      <alignment horizontal="center" vertical="center" wrapText="1"/>
      <protection locked="0"/>
    </xf>
    <xf numFmtId="0" fontId="11" fillId="62" borderId="95" xfId="367" applyFont="1" applyFill="1" applyBorder="1" applyAlignment="1" applyProtection="1">
      <alignment horizontal="center" vertical="center" wrapText="1"/>
      <protection locked="0"/>
    </xf>
    <xf numFmtId="0" fontId="11" fillId="0" borderId="108" xfId="108" applyBorder="1" applyAlignment="1">
      <alignment horizontal="center" vertical="center" wrapText="1"/>
    </xf>
    <xf numFmtId="0" fontId="11" fillId="0" borderId="50" xfId="108" applyBorder="1" applyAlignment="1">
      <alignment horizontal="center" vertical="center" wrapText="1"/>
    </xf>
    <xf numFmtId="0" fontId="11" fillId="0" borderId="17" xfId="108" applyBorder="1" applyAlignment="1">
      <alignment horizontal="center" vertical="center" wrapText="1"/>
    </xf>
    <xf numFmtId="0" fontId="11" fillId="0" borderId="85" xfId="108" applyBorder="1" applyAlignment="1">
      <alignment horizontal="center" vertical="center" wrapText="1"/>
    </xf>
    <xf numFmtId="0" fontId="11" fillId="0" borderId="90" xfId="108" applyBorder="1" applyAlignment="1">
      <alignment horizontal="center" vertical="center" wrapText="1"/>
    </xf>
    <xf numFmtId="0" fontId="27" fillId="35" borderId="103" xfId="0" applyFont="1" applyFill="1" applyBorder="1" applyAlignment="1">
      <alignment horizontal="center" vertical="center"/>
    </xf>
    <xf numFmtId="0" fontId="27" fillId="35" borderId="95" xfId="0" applyFont="1" applyFill="1" applyBorder="1" applyAlignment="1">
      <alignment horizontal="center" vertical="center" wrapText="1"/>
    </xf>
    <xf numFmtId="166" fontId="15" fillId="37" borderId="95" xfId="0" applyNumberFormat="1" applyFont="1" applyFill="1" applyBorder="1" applyAlignment="1">
      <alignment horizontal="center" vertical="center" wrapText="1"/>
    </xf>
    <xf numFmtId="0" fontId="27" fillId="35" borderId="90" xfId="0" applyFont="1" applyFill="1" applyBorder="1" applyAlignment="1">
      <alignment horizontal="center" vertical="center" wrapText="1"/>
    </xf>
    <xf numFmtId="1" fontId="15" fillId="26" borderId="107" xfId="0" applyNumberFormat="1" applyFont="1" applyFill="1" applyBorder="1" applyAlignment="1">
      <alignment horizontal="center" vertical="center" wrapText="1"/>
    </xf>
    <xf numFmtId="0" fontId="15" fillId="37" borderId="103" xfId="0" applyFont="1" applyFill="1" applyBorder="1" applyAlignment="1">
      <alignment horizontal="center" vertical="center"/>
    </xf>
    <xf numFmtId="0" fontId="15" fillId="37" borderId="95" xfId="0" applyFont="1" applyFill="1" applyBorder="1" applyAlignment="1">
      <alignment horizontal="center" vertical="center" wrapText="1"/>
    </xf>
    <xf numFmtId="0" fontId="15" fillId="37" borderId="95" xfId="0" applyFont="1" applyFill="1" applyBorder="1" applyAlignment="1">
      <alignment vertical="center" wrapText="1"/>
    </xf>
    <xf numFmtId="1" fontId="27" fillId="35" borderId="90" xfId="0" applyNumberFormat="1" applyFont="1" applyFill="1" applyBorder="1" applyAlignment="1">
      <alignment horizontal="center" vertical="center" wrapText="1"/>
    </xf>
    <xf numFmtId="165" fontId="48" fillId="0" borderId="95" xfId="0" applyNumberFormat="1" applyFont="1" applyBorder="1" applyAlignment="1">
      <alignment horizontal="center" vertical="center"/>
    </xf>
    <xf numFmtId="0" fontId="11" fillId="0" borderId="100" xfId="1111" applyBorder="1" applyAlignment="1">
      <alignment horizontal="left" vertical="center" wrapText="1"/>
    </xf>
    <xf numFmtId="0" fontId="45" fillId="34" borderId="16" xfId="0" applyFont="1" applyFill="1" applyBorder="1" applyAlignment="1">
      <alignment horizontal="center" vertical="center"/>
    </xf>
    <xf numFmtId="0" fontId="27" fillId="26" borderId="44" xfId="108" applyFont="1" applyFill="1" applyBorder="1" applyAlignment="1">
      <alignment vertical="center" wrapText="1"/>
    </xf>
    <xf numFmtId="0" fontId="15" fillId="26" borderId="12" xfId="108" applyFont="1" applyFill="1" applyBorder="1" applyAlignment="1">
      <alignment horizontal="center" vertical="center" wrapText="1"/>
    </xf>
    <xf numFmtId="0" fontId="15" fillId="37" borderId="83" xfId="0" applyFont="1" applyFill="1" applyBorder="1" applyAlignment="1">
      <alignment horizontal="center" vertical="center"/>
    </xf>
    <xf numFmtId="165" fontId="15" fillId="37" borderId="37" xfId="0" applyNumberFormat="1" applyFont="1" applyFill="1" applyBorder="1" applyAlignment="1">
      <alignment horizontal="center" vertical="center"/>
    </xf>
    <xf numFmtId="0" fontId="15" fillId="37" borderId="37" xfId="0" applyFont="1" applyFill="1" applyBorder="1" applyAlignment="1">
      <alignment horizontal="center" vertical="center" wrapText="1"/>
    </xf>
    <xf numFmtId="0" fontId="15" fillId="37" borderId="37" xfId="0" applyFont="1" applyFill="1" applyBorder="1" applyAlignment="1">
      <alignment vertical="center" wrapText="1"/>
    </xf>
    <xf numFmtId="166" fontId="15" fillId="37" borderId="37" xfId="0" applyNumberFormat="1" applyFont="1" applyFill="1" applyBorder="1" applyAlignment="1">
      <alignment horizontal="center" vertical="center" wrapText="1"/>
    </xf>
    <xf numFmtId="1" fontId="27" fillId="35" borderId="84" xfId="0" applyNumberFormat="1" applyFont="1" applyFill="1" applyBorder="1" applyAlignment="1">
      <alignment horizontal="center" vertical="center" wrapText="1"/>
    </xf>
    <xf numFmtId="0" fontId="27" fillId="26" borderId="12" xfId="108" applyFont="1" applyFill="1" applyBorder="1" applyAlignment="1">
      <alignment horizontal="center" vertical="center" wrapText="1"/>
    </xf>
    <xf numFmtId="0" fontId="11" fillId="29" borderId="19" xfId="72" applyFont="1" applyFill="1" applyBorder="1" applyAlignment="1" applyProtection="1">
      <alignment horizontal="center" vertical="center"/>
      <protection locked="0"/>
    </xf>
    <xf numFmtId="0" fontId="11" fillId="0" borderId="110" xfId="108" applyBorder="1" applyAlignment="1">
      <alignment vertical="center" wrapText="1"/>
    </xf>
    <xf numFmtId="0" fontId="11" fillId="29" borderId="19" xfId="0" applyFont="1" applyFill="1" applyBorder="1" applyAlignment="1" applyProtection="1">
      <alignment horizontal="center" vertical="center"/>
      <protection locked="0"/>
    </xf>
    <xf numFmtId="0" fontId="11" fillId="29" borderId="94" xfId="72" applyFont="1" applyFill="1" applyBorder="1" applyAlignment="1" applyProtection="1">
      <alignment horizontal="center" vertical="center" wrapText="1"/>
      <protection locked="0"/>
    </xf>
    <xf numFmtId="0" fontId="90" fillId="26" borderId="14" xfId="108" applyFont="1" applyFill="1" applyBorder="1" applyAlignment="1">
      <alignment vertical="center" wrapText="1"/>
    </xf>
    <xf numFmtId="0" fontId="11" fillId="26" borderId="14" xfId="108" applyFill="1" applyBorder="1"/>
    <xf numFmtId="0" fontId="11" fillId="0" borderId="95" xfId="108" applyBorder="1" applyAlignment="1">
      <alignment horizontal="center" vertical="center" wrapText="1"/>
    </xf>
    <xf numFmtId="0" fontId="11" fillId="29" borderId="56" xfId="72" applyFont="1" applyFill="1" applyBorder="1" applyAlignment="1" applyProtection="1">
      <alignment horizontal="center" vertical="center" wrapText="1"/>
      <protection locked="0"/>
    </xf>
    <xf numFmtId="0" fontId="11" fillId="29" borderId="26" xfId="72" applyFont="1" applyFill="1" applyBorder="1" applyAlignment="1" applyProtection="1">
      <alignment horizontal="center" vertical="center" wrapText="1"/>
      <protection locked="0"/>
    </xf>
    <xf numFmtId="0" fontId="11" fillId="0" borderId="17" xfId="1111" applyBorder="1" applyAlignment="1">
      <alignment horizontal="center" vertical="center" wrapText="1"/>
    </xf>
    <xf numFmtId="0" fontId="11" fillId="0" borderId="85" xfId="1111" applyBorder="1" applyAlignment="1">
      <alignment horizontal="center" vertical="center" wrapText="1"/>
    </xf>
    <xf numFmtId="0" fontId="15" fillId="26" borderId="24" xfId="108" applyFont="1" applyFill="1" applyBorder="1" applyAlignment="1">
      <alignment horizontal="center" vertical="center" wrapText="1"/>
    </xf>
    <xf numFmtId="0" fontId="11" fillId="32" borderId="90" xfId="108" applyFill="1" applyBorder="1" applyAlignment="1">
      <alignment horizontal="center" vertical="center" wrapText="1"/>
    </xf>
    <xf numFmtId="0" fontId="11" fillId="32" borderId="84" xfId="108" applyFill="1" applyBorder="1" applyAlignment="1">
      <alignment horizontal="center" vertical="center" wrapText="1"/>
    </xf>
    <xf numFmtId="0" fontId="11" fillId="0" borderId="74" xfId="108" applyBorder="1" applyAlignment="1">
      <alignment horizontal="center" vertical="center" wrapText="1"/>
    </xf>
    <xf numFmtId="0" fontId="11" fillId="0" borderId="122" xfId="108" applyBorder="1" applyAlignment="1">
      <alignment vertical="center" wrapText="1"/>
    </xf>
    <xf numFmtId="0" fontId="14" fillId="63" borderId="79" xfId="108" applyFont="1" applyFill="1" applyBorder="1" applyAlignment="1">
      <alignment vertical="center"/>
    </xf>
    <xf numFmtId="0" fontId="14" fillId="63" borderId="74" xfId="108" applyFont="1" applyFill="1" applyBorder="1" applyAlignment="1">
      <alignment vertical="center"/>
    </xf>
    <xf numFmtId="0" fontId="11" fillId="0" borderId="91" xfId="108" applyBorder="1" applyAlignment="1">
      <alignment vertical="center" wrapText="1"/>
    </xf>
    <xf numFmtId="0" fontId="90" fillId="26" borderId="46" xfId="108" applyFont="1" applyFill="1" applyBorder="1" applyAlignment="1">
      <alignment vertical="center" wrapText="1"/>
    </xf>
    <xf numFmtId="0" fontId="11" fillId="0" borderId="32" xfId="108" applyBorder="1" applyAlignment="1">
      <alignment vertical="center" wrapText="1"/>
    </xf>
    <xf numFmtId="0" fontId="15" fillId="26" borderId="38" xfId="108" applyFont="1" applyFill="1" applyBorder="1"/>
    <xf numFmtId="0" fontId="15" fillId="26" borderId="44" xfId="108" applyFont="1" applyFill="1" applyBorder="1"/>
    <xf numFmtId="0" fontId="15" fillId="26" borderId="44" xfId="108" applyFont="1" applyFill="1" applyBorder="1" applyAlignment="1">
      <alignment vertical="center"/>
    </xf>
    <xf numFmtId="0" fontId="15" fillId="26" borderId="12" xfId="108" applyFont="1" applyFill="1" applyBorder="1" applyAlignment="1">
      <alignment horizontal="center"/>
    </xf>
    <xf numFmtId="0" fontId="15" fillId="26" borderId="44" xfId="108" applyFont="1" applyFill="1" applyBorder="1" applyAlignment="1">
      <alignment horizontal="center"/>
    </xf>
    <xf numFmtId="0" fontId="15" fillId="0" borderId="103" xfId="108" applyFont="1" applyBorder="1" applyAlignment="1">
      <alignment horizontal="left" vertical="center" wrapText="1"/>
    </xf>
    <xf numFmtId="0" fontId="51" fillId="27" borderId="113" xfId="123" applyFont="1" applyFill="1" applyBorder="1"/>
    <xf numFmtId="0" fontId="12" fillId="27" borderId="104" xfId="0" applyFont="1" applyFill="1" applyBorder="1" applyAlignment="1">
      <alignment horizontal="center"/>
    </xf>
    <xf numFmtId="0" fontId="11" fillId="0" borderId="104" xfId="0" applyFont="1" applyBorder="1" applyAlignment="1">
      <alignment vertical="center"/>
    </xf>
    <xf numFmtId="169" fontId="51" fillId="0" borderId="0" xfId="123" applyNumberFormat="1" applyFont="1" applyAlignment="1">
      <alignment horizontal="center" vertical="center"/>
    </xf>
    <xf numFmtId="0" fontId="22" fillId="0" borderId="100" xfId="108" applyFont="1" applyBorder="1" applyAlignment="1">
      <alignment vertical="center" wrapText="1"/>
    </xf>
    <xf numFmtId="0" fontId="11" fillId="0" borderId="100" xfId="1111" applyBorder="1" applyAlignment="1">
      <alignment vertical="center" wrapText="1"/>
    </xf>
    <xf numFmtId="0" fontId="15" fillId="27" borderId="111" xfId="108" applyFont="1" applyFill="1" applyBorder="1" applyAlignment="1">
      <alignment vertical="center" wrapText="1"/>
    </xf>
    <xf numFmtId="0" fontId="15" fillId="27" borderId="111" xfId="108" applyFont="1" applyFill="1" applyBorder="1" applyAlignment="1">
      <alignment horizontal="center" vertical="center" wrapText="1"/>
    </xf>
    <xf numFmtId="0" fontId="15" fillId="27" borderId="16" xfId="108" applyFont="1" applyFill="1" applyBorder="1" applyAlignment="1">
      <alignment vertical="center" wrapText="1"/>
    </xf>
    <xf numFmtId="0" fontId="15" fillId="27" borderId="38" xfId="108" applyFont="1" applyFill="1" applyBorder="1" applyAlignment="1">
      <alignment vertical="center" wrapText="1"/>
    </xf>
    <xf numFmtId="0" fontId="15" fillId="27" borderId="86" xfId="108" applyFont="1" applyFill="1" applyBorder="1" applyAlignment="1">
      <alignment horizontal="center" vertical="center" wrapText="1"/>
    </xf>
    <xf numFmtId="0" fontId="97" fillId="0" borderId="18" xfId="108" applyFont="1" applyBorder="1" applyAlignment="1">
      <alignment vertical="center" wrapText="1"/>
    </xf>
    <xf numFmtId="0" fontId="97" fillId="0" borderId="103" xfId="108" applyFont="1" applyBorder="1" applyAlignment="1">
      <alignment vertical="center" wrapText="1"/>
    </xf>
    <xf numFmtId="0" fontId="97" fillId="0" borderId="93" xfId="108" applyFont="1" applyBorder="1" applyAlignment="1">
      <alignment vertical="center" wrapText="1"/>
    </xf>
    <xf numFmtId="0" fontId="27" fillId="27" borderId="16" xfId="108" applyFont="1" applyFill="1" applyBorder="1" applyAlignment="1">
      <alignment vertical="center" wrapText="1"/>
    </xf>
    <xf numFmtId="0" fontId="27" fillId="27" borderId="17" xfId="108" applyFont="1" applyFill="1" applyBorder="1" applyAlignment="1">
      <alignment vertical="center" wrapText="1"/>
    </xf>
    <xf numFmtId="0" fontId="27" fillId="27" borderId="17" xfId="108" applyFont="1" applyFill="1" applyBorder="1" applyAlignment="1">
      <alignment horizontal="center" vertical="center" wrapText="1"/>
    </xf>
    <xf numFmtId="0" fontId="15" fillId="27" borderId="71" xfId="108" applyFont="1" applyFill="1" applyBorder="1" applyAlignment="1">
      <alignment vertical="center" wrapText="1"/>
    </xf>
    <xf numFmtId="0" fontId="15" fillId="27" borderId="89" xfId="108" applyFont="1" applyFill="1" applyBorder="1" applyAlignment="1">
      <alignment horizontal="center" vertical="center" wrapText="1"/>
    </xf>
    <xf numFmtId="0" fontId="11" fillId="29" borderId="13" xfId="72" applyFont="1" applyFill="1" applyBorder="1" applyAlignment="1" applyProtection="1">
      <alignment horizontal="center" vertical="center" wrapText="1"/>
      <protection locked="0"/>
    </xf>
    <xf numFmtId="0" fontId="15" fillId="26" borderId="80" xfId="108" applyFont="1" applyFill="1" applyBorder="1" applyAlignment="1">
      <alignment vertical="center" wrapText="1"/>
    </xf>
    <xf numFmtId="0" fontId="15" fillId="26" borderId="86" xfId="108" applyFont="1" applyFill="1" applyBorder="1" applyAlignment="1">
      <alignment horizontal="center" vertical="center"/>
    </xf>
    <xf numFmtId="0" fontId="15" fillId="26" borderId="12" xfId="108" applyFont="1" applyFill="1" applyBorder="1" applyAlignment="1">
      <alignment horizontal="center" vertical="center"/>
    </xf>
    <xf numFmtId="0" fontId="11" fillId="0" borderId="19" xfId="108" applyBorder="1" applyAlignment="1">
      <alignment horizontal="center" vertical="center" wrapText="1"/>
    </xf>
    <xf numFmtId="0" fontId="15" fillId="27" borderId="80" xfId="108" applyFont="1" applyFill="1" applyBorder="1" applyAlignment="1">
      <alignment vertical="center" wrapText="1"/>
    </xf>
    <xf numFmtId="0" fontId="15" fillId="27" borderId="12" xfId="72" applyFont="1" applyFill="1" applyBorder="1" applyAlignment="1" applyProtection="1">
      <alignment horizontal="center" vertical="center" wrapText="1"/>
    </xf>
    <xf numFmtId="0" fontId="25" fillId="0" borderId="91" xfId="108" applyFont="1" applyBorder="1" applyAlignment="1">
      <alignment horizontal="center" vertical="center" wrapText="1"/>
    </xf>
    <xf numFmtId="0" fontId="22" fillId="0" borderId="110" xfId="108" applyFont="1" applyBorder="1" applyAlignment="1">
      <alignment horizontal="center" vertical="center" wrapText="1"/>
    </xf>
    <xf numFmtId="0" fontId="22" fillId="0" borderId="108" xfId="108" applyFont="1" applyBorder="1" applyAlignment="1">
      <alignment horizontal="center" vertical="center" wrapText="1"/>
    </xf>
    <xf numFmtId="0" fontId="25" fillId="0" borderId="87" xfId="108" applyFont="1" applyBorder="1" applyAlignment="1">
      <alignment horizontal="center" vertical="center" wrapText="1"/>
    </xf>
    <xf numFmtId="0" fontId="22" fillId="0" borderId="40" xfId="108" applyFont="1" applyBorder="1" applyAlignment="1">
      <alignment horizontal="center" vertical="center" wrapText="1"/>
    </xf>
    <xf numFmtId="0" fontId="22" fillId="0" borderId="112" xfId="108" applyFont="1" applyBorder="1" applyAlignment="1">
      <alignment horizontal="center" vertical="center" wrapText="1"/>
    </xf>
    <xf numFmtId="0" fontId="15" fillId="27" borderId="12" xfId="72" applyFont="1" applyFill="1" applyBorder="1" applyAlignment="1" applyProtection="1">
      <alignment horizontal="center" vertical="center"/>
    </xf>
    <xf numFmtId="0" fontId="0" fillId="29" borderId="29" xfId="0" applyFill="1" applyBorder="1" applyAlignment="1" applyProtection="1">
      <alignment horizontal="center" vertical="center"/>
      <protection locked="0"/>
    </xf>
    <xf numFmtId="0" fontId="0" fillId="29" borderId="20" xfId="0" applyFill="1" applyBorder="1" applyAlignment="1" applyProtection="1">
      <alignment horizontal="center" vertical="center"/>
      <protection locked="0"/>
    </xf>
    <xf numFmtId="0" fontId="15" fillId="27" borderId="12" xfId="108" applyFont="1" applyFill="1" applyBorder="1" applyAlignment="1">
      <alignment horizontal="center" vertical="center" wrapText="1"/>
    </xf>
    <xf numFmtId="0" fontId="11" fillId="0" borderId="20" xfId="108" applyBorder="1" applyAlignment="1">
      <alignment vertical="center"/>
    </xf>
    <xf numFmtId="0" fontId="11" fillId="0" borderId="34" xfId="108" applyBorder="1" applyAlignment="1">
      <alignment horizontal="center" vertical="center"/>
    </xf>
    <xf numFmtId="0" fontId="59" fillId="0" borderId="0" xfId="367" applyAlignment="1">
      <alignment horizontal="center"/>
    </xf>
    <xf numFmtId="0" fontId="11" fillId="0" borderId="16" xfId="108" applyBorder="1" applyAlignment="1">
      <alignment horizontal="left" vertical="center" wrapText="1"/>
    </xf>
    <xf numFmtId="0" fontId="27" fillId="35" borderId="95" xfId="0" applyFont="1" applyFill="1" applyBorder="1" applyAlignment="1">
      <alignment horizontal="center" vertical="center"/>
    </xf>
    <xf numFmtId="0" fontId="15" fillId="37" borderId="95" xfId="0" applyFont="1" applyFill="1" applyBorder="1" applyAlignment="1">
      <alignment horizontal="center" vertical="center"/>
    </xf>
    <xf numFmtId="0" fontId="14" fillId="0" borderId="28" xfId="0" applyFont="1" applyBorder="1" applyAlignment="1">
      <alignment horizontal="center" vertical="center"/>
    </xf>
    <xf numFmtId="0" fontId="14" fillId="0" borderId="37" xfId="0" applyFont="1" applyBorder="1" applyAlignment="1">
      <alignment horizontal="center" vertical="center"/>
    </xf>
    <xf numFmtId="0" fontId="14" fillId="0" borderId="10" xfId="0" applyFont="1" applyBorder="1" applyAlignment="1">
      <alignment horizontal="center" vertical="center"/>
    </xf>
    <xf numFmtId="166" fontId="84" fillId="36" borderId="79" xfId="0" applyNumberFormat="1" applyFont="1" applyFill="1" applyBorder="1" applyAlignment="1">
      <alignment horizontal="center" vertical="center" wrapText="1"/>
    </xf>
    <xf numFmtId="166" fontId="84" fillId="34" borderId="62" xfId="0" applyNumberFormat="1" applyFont="1" applyFill="1" applyBorder="1" applyAlignment="1">
      <alignment horizontal="center" vertical="center" wrapText="1"/>
    </xf>
    <xf numFmtId="166" fontId="84" fillId="23" borderId="17" xfId="0" applyNumberFormat="1" applyFont="1" applyFill="1" applyBorder="1" applyAlignment="1">
      <alignment horizontal="center" vertical="center" wrapText="1"/>
    </xf>
    <xf numFmtId="0" fontId="15" fillId="27" borderId="79" xfId="108" applyFont="1" applyFill="1" applyBorder="1" applyAlignment="1">
      <alignment vertical="center" wrapText="1"/>
    </xf>
    <xf numFmtId="0" fontId="15" fillId="27" borderId="17" xfId="108" applyFont="1" applyFill="1" applyBorder="1" applyAlignment="1">
      <alignment horizontal="center" vertical="center" wrapText="1"/>
    </xf>
    <xf numFmtId="0" fontId="12" fillId="0" borderId="29" xfId="108" applyFont="1" applyBorder="1" applyAlignment="1">
      <alignment horizontal="center" vertical="center"/>
    </xf>
    <xf numFmtId="0" fontId="11" fillId="0" borderId="108" xfId="108" applyBorder="1" applyAlignment="1">
      <alignment horizontal="left" vertical="center" wrapText="1"/>
    </xf>
    <xf numFmtId="0" fontId="11" fillId="0" borderId="99" xfId="108" applyBorder="1" applyAlignment="1">
      <alignment horizontal="left" vertical="center" wrapText="1"/>
    </xf>
    <xf numFmtId="0" fontId="11" fillId="0" borderId="113" xfId="108" applyBorder="1" applyAlignment="1">
      <alignment horizontal="center" vertical="center" wrapText="1"/>
    </xf>
    <xf numFmtId="0" fontId="11" fillId="0" borderId="37" xfId="0" applyFont="1" applyBorder="1" applyAlignment="1">
      <alignment horizontal="left" vertical="center" wrapText="1"/>
    </xf>
    <xf numFmtId="0" fontId="11" fillId="0" borderId="98" xfId="108" applyBorder="1" applyAlignment="1">
      <alignment horizontal="center" vertical="center" wrapText="1"/>
    </xf>
    <xf numFmtId="0" fontId="11" fillId="29" borderId="26" xfId="0" applyFont="1" applyFill="1" applyBorder="1" applyAlignment="1" applyProtection="1">
      <alignment horizontal="center" vertical="center"/>
      <protection locked="0"/>
    </xf>
    <xf numFmtId="0" fontId="12" fillId="0" borderId="19" xfId="108" applyFont="1" applyBorder="1" applyAlignment="1">
      <alignment horizontal="center" vertical="center"/>
    </xf>
    <xf numFmtId="0" fontId="15" fillId="0" borderId="72" xfId="108" applyFont="1" applyBorder="1" applyAlignment="1">
      <alignment horizontal="left" vertical="center" wrapText="1"/>
    </xf>
    <xf numFmtId="0" fontId="15" fillId="0" borderId="91" xfId="108" applyFont="1" applyBorder="1" applyAlignment="1">
      <alignment horizontal="left" vertical="center" wrapText="1"/>
    </xf>
    <xf numFmtId="0" fontId="12" fillId="0" borderId="50" xfId="0" applyFont="1" applyBorder="1" applyAlignment="1">
      <alignment horizontal="center" vertical="center" wrapText="1"/>
    </xf>
    <xf numFmtId="0" fontId="12" fillId="0" borderId="112" xfId="0" applyFont="1" applyBorder="1" applyAlignment="1">
      <alignment horizontal="center" vertical="center" wrapText="1"/>
    </xf>
    <xf numFmtId="0" fontId="15" fillId="26" borderId="13" xfId="108" applyFont="1" applyFill="1" applyBorder="1" applyAlignment="1">
      <alignment horizontal="center" vertical="center" wrapText="1"/>
    </xf>
    <xf numFmtId="0" fontId="15" fillId="0" borderId="32" xfId="108" applyFont="1" applyBorder="1" applyAlignment="1">
      <alignment horizontal="left" vertical="center" wrapText="1"/>
    </xf>
    <xf numFmtId="0" fontId="11" fillId="0" borderId="29" xfId="72" applyFont="1" applyFill="1" applyBorder="1" applyAlignment="1" applyProtection="1">
      <alignment horizontal="center" vertical="center"/>
      <protection locked="0"/>
    </xf>
    <xf numFmtId="0" fontId="14" fillId="0" borderId="29" xfId="108" applyFont="1" applyBorder="1" applyAlignment="1">
      <alignment horizontal="center" vertical="center" wrapText="1"/>
    </xf>
    <xf numFmtId="0" fontId="11" fillId="29" borderId="20" xfId="72" applyFont="1" applyFill="1" applyBorder="1" applyAlignment="1" applyProtection="1">
      <alignment horizontal="center" vertical="center" wrapText="1"/>
    </xf>
    <xf numFmtId="0" fontId="11" fillId="29" borderId="20" xfId="72" applyFont="1" applyFill="1" applyBorder="1" applyAlignment="1" applyProtection="1">
      <alignment horizontal="center" vertical="center" wrapText="1"/>
      <protection locked="0"/>
    </xf>
    <xf numFmtId="0" fontId="51" fillId="27" borderId="71" xfId="0" applyFont="1" applyFill="1" applyBorder="1" applyAlignment="1">
      <alignment vertical="center" wrapText="1"/>
    </xf>
    <xf numFmtId="0" fontId="11" fillId="0" borderId="20" xfId="108" applyBorder="1" applyAlignment="1" applyProtection="1">
      <alignment horizontal="center" vertical="center"/>
      <protection locked="0"/>
    </xf>
    <xf numFmtId="0" fontId="11" fillId="58" borderId="19" xfId="72" applyFont="1" applyFill="1" applyBorder="1" applyAlignment="1" applyProtection="1">
      <alignment horizontal="center" vertical="center" wrapText="1"/>
      <protection locked="0"/>
    </xf>
    <xf numFmtId="0" fontId="27" fillId="27" borderId="12" xfId="108" applyFont="1" applyFill="1" applyBorder="1" applyAlignment="1">
      <alignment horizontal="center" vertical="center" wrapText="1"/>
    </xf>
    <xf numFmtId="0" fontId="15" fillId="27" borderId="12" xfId="368" applyFont="1" applyFill="1" applyBorder="1" applyAlignment="1">
      <alignment horizontal="center" vertical="center"/>
    </xf>
    <xf numFmtId="0" fontId="11" fillId="29" borderId="19" xfId="72" applyFont="1" applyFill="1" applyBorder="1" applyAlignment="1" applyProtection="1">
      <alignment horizontal="center" vertical="center" wrapText="1"/>
      <protection locked="0"/>
    </xf>
    <xf numFmtId="0" fontId="11" fillId="0" borderId="105" xfId="108" applyBorder="1" applyAlignment="1">
      <alignment vertical="center"/>
    </xf>
    <xf numFmtId="169" fontId="85" fillId="29" borderId="19" xfId="72" applyNumberFormat="1" applyFont="1" applyFill="1" applyBorder="1" applyAlignment="1" applyProtection="1">
      <alignment horizontal="center" vertical="center"/>
      <protection locked="0"/>
    </xf>
    <xf numFmtId="0" fontId="15" fillId="27" borderId="38" xfId="108" applyFont="1" applyFill="1" applyBorder="1" applyAlignment="1">
      <alignment horizontal="left" vertical="center"/>
    </xf>
    <xf numFmtId="0" fontId="15" fillId="27" borderId="12" xfId="108" applyFont="1" applyFill="1" applyBorder="1" applyAlignment="1">
      <alignment horizontal="center" vertical="center"/>
    </xf>
    <xf numFmtId="169" fontId="85" fillId="29" borderId="20" xfId="72" applyNumberFormat="1" applyFont="1" applyFill="1" applyBorder="1" applyAlignment="1" applyProtection="1">
      <alignment horizontal="center" vertical="center"/>
      <protection locked="0"/>
    </xf>
    <xf numFmtId="0" fontId="15" fillId="27" borderId="12" xfId="108" applyFont="1" applyFill="1" applyBorder="1" applyAlignment="1">
      <alignment horizontal="left" vertical="center"/>
    </xf>
    <xf numFmtId="0" fontId="15" fillId="26" borderId="38" xfId="108" applyFont="1" applyFill="1" applyBorder="1" applyAlignment="1">
      <alignment vertical="center"/>
    </xf>
    <xf numFmtId="0" fontId="25" fillId="0" borderId="109" xfId="108" applyFont="1" applyBorder="1" applyAlignment="1">
      <alignment vertical="center" wrapText="1"/>
    </xf>
    <xf numFmtId="0" fontId="22" fillId="0" borderId="110" xfId="108" applyFont="1" applyBorder="1" applyAlignment="1">
      <alignment vertical="center" wrapText="1"/>
    </xf>
    <xf numFmtId="0" fontId="11" fillId="27" borderId="110" xfId="108" applyFill="1" applyBorder="1" applyAlignment="1">
      <alignment vertical="center" wrapText="1"/>
    </xf>
    <xf numFmtId="0" fontId="11" fillId="0" borderId="94" xfId="108" applyBorder="1" applyAlignment="1">
      <alignment horizontal="center" vertical="center"/>
    </xf>
    <xf numFmtId="0" fontId="90" fillId="26" borderId="38" xfId="108" applyFont="1" applyFill="1" applyBorder="1" applyAlignment="1">
      <alignment vertical="center" wrapText="1"/>
    </xf>
    <xf numFmtId="0" fontId="90" fillId="26" borderId="44" xfId="108" applyFont="1" applyFill="1" applyBorder="1" applyAlignment="1">
      <alignment vertical="center" wrapText="1"/>
    </xf>
    <xf numFmtId="0" fontId="90" fillId="26" borderId="12" xfId="108" applyFont="1" applyFill="1" applyBorder="1" applyAlignment="1">
      <alignment horizontal="center" vertical="center" wrapText="1"/>
    </xf>
    <xf numFmtId="0" fontId="59" fillId="0" borderId="40" xfId="0" applyFont="1" applyBorder="1" applyAlignment="1">
      <alignment wrapText="1"/>
    </xf>
    <xf numFmtId="0" fontId="59" fillId="0" borderId="112" xfId="367" applyBorder="1" applyAlignment="1">
      <alignment horizontal="center" vertical="center" wrapText="1"/>
    </xf>
    <xf numFmtId="0" fontId="22" fillId="0" borderId="108" xfId="1111" applyFont="1" applyBorder="1" applyAlignment="1">
      <alignment vertical="center" wrapText="1"/>
    </xf>
    <xf numFmtId="0" fontId="27" fillId="26" borderId="52" xfId="108" applyFont="1" applyFill="1" applyBorder="1" applyAlignment="1">
      <alignment vertical="center" wrapText="1"/>
    </xf>
    <xf numFmtId="0" fontId="58" fillId="0" borderId="0" xfId="123" applyFont="1"/>
    <xf numFmtId="0" fontId="14" fillId="0" borderId="0" xfId="0" applyFont="1" applyAlignment="1">
      <alignment vertical="center"/>
    </xf>
    <xf numFmtId="167" fontId="11" fillId="0" borderId="0" xfId="87" applyNumberFormat="1" applyFont="1" applyFill="1" applyBorder="1" applyAlignment="1" applyProtection="1">
      <alignment horizontal="center" vertical="center"/>
      <protection locked="0"/>
    </xf>
    <xf numFmtId="0" fontId="15" fillId="63" borderId="16" xfId="108" applyFont="1" applyFill="1" applyBorder="1" applyAlignment="1">
      <alignment vertical="center" wrapText="1"/>
    </xf>
    <xf numFmtId="0" fontId="15" fillId="0" borderId="72" xfId="1111" applyFont="1" applyBorder="1" applyAlignment="1">
      <alignment horizontal="left" vertical="center" wrapText="1"/>
    </xf>
    <xf numFmtId="0" fontId="11" fillId="0" borderId="126" xfId="0" applyFont="1" applyBorder="1" applyAlignment="1">
      <alignment horizontal="center" vertical="center" wrapText="1"/>
    </xf>
    <xf numFmtId="0" fontId="15" fillId="0" borderId="90" xfId="1109" applyFont="1" applyBorder="1" applyAlignment="1">
      <alignment horizontal="center" vertical="center"/>
    </xf>
    <xf numFmtId="0" fontId="11" fillId="0" borderId="95" xfId="0" applyFont="1" applyBorder="1" applyAlignment="1">
      <alignment horizontal="left" vertical="center" wrapText="1"/>
    </xf>
    <xf numFmtId="169" fontId="15" fillId="64" borderId="95" xfId="366" applyNumberFormat="1" applyFont="1" applyFill="1" applyBorder="1" applyAlignment="1">
      <alignment horizontal="center" vertical="center"/>
    </xf>
    <xf numFmtId="169" fontId="15" fillId="64" borderId="37" xfId="366" applyNumberFormat="1" applyFont="1" applyFill="1" applyBorder="1" applyAlignment="1">
      <alignment horizontal="center" vertical="center"/>
    </xf>
    <xf numFmtId="0" fontId="15" fillId="58" borderId="12" xfId="108" applyFont="1" applyFill="1" applyBorder="1" applyAlignment="1">
      <alignment vertical="center"/>
    </xf>
    <xf numFmtId="1" fontId="15" fillId="58" borderId="30" xfId="108" applyNumberFormat="1" applyFont="1" applyFill="1" applyBorder="1" applyAlignment="1">
      <alignment horizontal="center" vertical="center"/>
    </xf>
    <xf numFmtId="0" fontId="15" fillId="58" borderId="46" xfId="108" applyFont="1" applyFill="1" applyBorder="1" applyAlignment="1">
      <alignment vertical="center"/>
    </xf>
    <xf numFmtId="1" fontId="15" fillId="58" borderId="12" xfId="108" applyNumberFormat="1" applyFont="1" applyFill="1" applyBorder="1" applyAlignment="1">
      <alignment horizontal="center" vertical="center"/>
    </xf>
    <xf numFmtId="0" fontId="11" fillId="0" borderId="120" xfId="108" applyBorder="1" applyAlignment="1">
      <alignment horizontal="center" vertical="center" wrapText="1"/>
    </xf>
    <xf numFmtId="0" fontId="101" fillId="0" borderId="0" xfId="109" applyFont="1"/>
    <xf numFmtId="0" fontId="11" fillId="29" borderId="13" xfId="72" applyFont="1" applyFill="1" applyBorder="1" applyAlignment="1" applyProtection="1">
      <alignment horizontal="center" vertical="center"/>
      <protection locked="0"/>
    </xf>
    <xf numFmtId="0" fontId="12" fillId="27" borderId="86" xfId="108" applyFont="1" applyFill="1" applyBorder="1" applyAlignment="1">
      <alignment horizontal="center" vertical="center" wrapText="1"/>
    </xf>
    <xf numFmtId="0" fontId="11" fillId="29" borderId="56" xfId="72" applyFont="1" applyFill="1" applyBorder="1" applyAlignment="1" applyProtection="1">
      <alignment horizontal="center" vertical="center"/>
      <protection locked="0"/>
    </xf>
    <xf numFmtId="0" fontId="67" fillId="27" borderId="38" xfId="0" applyFont="1" applyFill="1" applyBorder="1" applyAlignment="1">
      <alignment horizontal="center" vertical="center"/>
    </xf>
    <xf numFmtId="0" fontId="58" fillId="27" borderId="52" xfId="0" applyFont="1" applyFill="1" applyBorder="1" applyAlignment="1">
      <alignment horizontal="center" vertical="center"/>
    </xf>
    <xf numFmtId="0" fontId="67" fillId="27" borderId="34" xfId="0" applyFont="1" applyFill="1" applyBorder="1" applyAlignment="1">
      <alignment horizontal="center" vertical="center"/>
    </xf>
    <xf numFmtId="0" fontId="51" fillId="0" borderId="16" xfId="0" applyFont="1" applyBorder="1" applyAlignment="1">
      <alignment vertical="center"/>
    </xf>
    <xf numFmtId="0" fontId="51" fillId="0" borderId="17" xfId="0" applyFont="1" applyBorder="1" applyAlignment="1">
      <alignment vertical="center"/>
    </xf>
    <xf numFmtId="0" fontId="58" fillId="29" borderId="56" xfId="0" applyFont="1" applyFill="1" applyBorder="1" applyAlignment="1" applyProtection="1">
      <alignment horizontal="center" vertical="center"/>
      <protection locked="0"/>
    </xf>
    <xf numFmtId="0" fontId="67" fillId="27" borderId="36" xfId="0" applyFont="1" applyFill="1" applyBorder="1" applyAlignment="1">
      <alignment horizontal="center" vertical="center"/>
    </xf>
    <xf numFmtId="0" fontId="67" fillId="27" borderId="30" xfId="0" applyFont="1" applyFill="1" applyBorder="1" applyAlignment="1">
      <alignment horizontal="center" vertical="center"/>
    </xf>
    <xf numFmtId="0" fontId="58" fillId="0" borderId="106" xfId="0" applyFont="1" applyBorder="1" applyAlignment="1">
      <alignment horizontal="center" vertical="center"/>
    </xf>
    <xf numFmtId="0" fontId="58" fillId="0" borderId="102" xfId="0" applyFont="1" applyBorder="1" applyAlignment="1">
      <alignment horizontal="center" vertical="center"/>
    </xf>
    <xf numFmtId="0" fontId="58" fillId="29" borderId="29" xfId="0" applyFont="1" applyFill="1" applyBorder="1" applyAlignment="1" applyProtection="1">
      <alignment horizontal="center" vertical="center"/>
      <protection locked="0"/>
    </xf>
    <xf numFmtId="0" fontId="58" fillId="0" borderId="113" xfId="0" applyFont="1" applyBorder="1" applyAlignment="1">
      <alignment horizontal="center" vertical="center"/>
    </xf>
    <xf numFmtId="0" fontId="58" fillId="29" borderId="94" xfId="0" applyFont="1" applyFill="1" applyBorder="1" applyAlignment="1" applyProtection="1">
      <alignment horizontal="center" vertical="center"/>
      <protection locked="0"/>
    </xf>
    <xf numFmtId="0" fontId="67" fillId="63" borderId="38" xfId="0" applyFont="1" applyFill="1" applyBorder="1" applyAlignment="1">
      <alignment horizontal="left" vertical="center"/>
    </xf>
    <xf numFmtId="0" fontId="58" fillId="0" borderId="56" xfId="0" applyFont="1" applyBorder="1" applyAlignment="1">
      <alignment vertical="center"/>
    </xf>
    <xf numFmtId="0" fontId="58" fillId="0" borderId="26" xfId="0" applyFont="1" applyBorder="1" applyAlignment="1">
      <alignment vertical="center" wrapText="1"/>
    </xf>
    <xf numFmtId="0" fontId="58" fillId="29" borderId="26" xfId="0" applyFont="1" applyFill="1" applyBorder="1" applyAlignment="1" applyProtection="1">
      <alignment horizontal="center" vertical="center"/>
      <protection locked="0"/>
    </xf>
    <xf numFmtId="0" fontId="58" fillId="0" borderId="30" xfId="0" applyFont="1" applyBorder="1" applyAlignment="1">
      <alignment vertical="center"/>
    </xf>
    <xf numFmtId="0" fontId="58" fillId="0" borderId="12" xfId="0" applyFont="1" applyBorder="1" applyAlignment="1">
      <alignment vertical="center"/>
    </xf>
    <xf numFmtId="0" fontId="58" fillId="0" borderId="29" xfId="0" applyFont="1" applyBorder="1" applyAlignment="1">
      <alignment horizontal="center" vertical="center"/>
    </xf>
    <xf numFmtId="0" fontId="58" fillId="0" borderId="26" xfId="0" applyFont="1" applyBorder="1" applyAlignment="1">
      <alignment horizontal="center" vertical="center"/>
    </xf>
    <xf numFmtId="0" fontId="58" fillId="0" borderId="29" xfId="0" applyFont="1" applyBorder="1" applyAlignment="1">
      <alignment vertical="center"/>
    </xf>
    <xf numFmtId="0" fontId="58" fillId="0" borderId="94" xfId="0" applyFont="1" applyBorder="1" applyAlignment="1">
      <alignment vertical="center" wrapText="1"/>
    </xf>
    <xf numFmtId="0" fontId="58" fillId="0" borderId="44" xfId="0" applyFont="1" applyBorder="1" applyAlignment="1">
      <alignment horizontal="center" vertical="center"/>
    </xf>
    <xf numFmtId="0" fontId="58" fillId="29" borderId="12" xfId="0" applyFont="1" applyFill="1" applyBorder="1" applyAlignment="1" applyProtection="1">
      <alignment horizontal="center" vertical="center"/>
      <protection locked="0"/>
    </xf>
    <xf numFmtId="0" fontId="58" fillId="29" borderId="19" xfId="0" applyFont="1" applyFill="1" applyBorder="1" applyAlignment="1" applyProtection="1">
      <alignment horizontal="center" vertical="center"/>
      <protection locked="0"/>
    </xf>
    <xf numFmtId="0" fontId="62" fillId="63" borderId="44" xfId="0" applyFont="1" applyFill="1" applyBorder="1" applyAlignment="1">
      <alignment horizontal="center" vertical="center"/>
    </xf>
    <xf numFmtId="0" fontId="62" fillId="63" borderId="52" xfId="0" applyFont="1" applyFill="1" applyBorder="1" applyAlignment="1">
      <alignment horizontal="center" vertical="center"/>
    </xf>
    <xf numFmtId="0" fontId="58" fillId="29" borderId="102" xfId="0" applyFont="1" applyFill="1" applyBorder="1" applyAlignment="1" applyProtection="1">
      <alignment horizontal="center" vertical="center"/>
      <protection locked="0"/>
    </xf>
    <xf numFmtId="0" fontId="58" fillId="26" borderId="26" xfId="0" applyFont="1" applyFill="1" applyBorder="1" applyAlignment="1">
      <alignment horizontal="center" vertical="center"/>
    </xf>
    <xf numFmtId="0" fontId="58" fillId="0" borderId="26" xfId="0" applyFont="1" applyBorder="1" applyAlignment="1">
      <alignment vertical="center"/>
    </xf>
    <xf numFmtId="0" fontId="67" fillId="26" borderId="80" xfId="0" applyFont="1" applyFill="1" applyBorder="1" applyAlignment="1">
      <alignment vertical="center"/>
    </xf>
    <xf numFmtId="0" fontId="67" fillId="26" borderId="86" xfId="0" applyFont="1" applyFill="1" applyBorder="1" applyAlignment="1">
      <alignment horizontal="center" vertical="center"/>
    </xf>
    <xf numFmtId="0" fontId="103" fillId="26" borderId="38" xfId="0" applyFont="1" applyFill="1" applyBorder="1" applyAlignment="1">
      <alignment horizontal="center" vertical="center"/>
    </xf>
    <xf numFmtId="0" fontId="65" fillId="0" borderId="0" xfId="0" applyFont="1" applyAlignment="1">
      <alignment vertical="center"/>
    </xf>
    <xf numFmtId="0" fontId="65" fillId="0" borderId="0" xfId="0" applyFont="1" applyAlignment="1">
      <alignment horizontal="center" vertical="center"/>
    </xf>
    <xf numFmtId="0" fontId="64" fillId="0" borderId="0" xfId="0" applyFont="1" applyAlignment="1">
      <alignment vertical="center"/>
    </xf>
    <xf numFmtId="0" fontId="63" fillId="0" borderId="0" xfId="0" applyFont="1" applyAlignment="1">
      <alignment horizontal="center"/>
    </xf>
    <xf numFmtId="0" fontId="0" fillId="0" borderId="0" xfId="0" applyAlignment="1">
      <alignment horizontal="center"/>
    </xf>
    <xf numFmtId="0" fontId="103" fillId="26" borderId="12" xfId="0" applyFont="1" applyFill="1" applyBorder="1" applyAlignment="1">
      <alignment horizontal="center" vertical="center"/>
    </xf>
    <xf numFmtId="0" fontId="58" fillId="0" borderId="29" xfId="0" applyFont="1" applyBorder="1" applyAlignment="1">
      <alignment horizontal="left" vertical="center" wrapText="1"/>
    </xf>
    <xf numFmtId="0" fontId="58" fillId="0" borderId="94" xfId="0" applyFont="1" applyBorder="1" applyAlignment="1">
      <alignment horizontal="left" vertical="center"/>
    </xf>
    <xf numFmtId="0" fontId="58" fillId="0" borderId="56" xfId="0" applyFont="1" applyBorder="1" applyAlignment="1">
      <alignment horizontal="left" vertical="top" wrapText="1"/>
    </xf>
    <xf numFmtId="0" fontId="59" fillId="0" borderId="12" xfId="0" applyFont="1" applyBorder="1" applyAlignment="1">
      <alignment vertical="center" wrapText="1"/>
    </xf>
    <xf numFmtId="0" fontId="59" fillId="0" borderId="19" xfId="0" applyFont="1" applyBorder="1" applyAlignment="1">
      <alignment vertical="center" wrapText="1"/>
    </xf>
    <xf numFmtId="0" fontId="59" fillId="0" borderId="94" xfId="0" applyFont="1" applyBorder="1" applyAlignment="1">
      <alignment vertical="center" wrapText="1"/>
    </xf>
    <xf numFmtId="167" fontId="11" fillId="26" borderId="95" xfId="87" applyNumberFormat="1" applyFont="1" applyFill="1" applyBorder="1" applyAlignment="1" applyProtection="1">
      <alignment horizontal="center" vertical="center"/>
    </xf>
    <xf numFmtId="0" fontId="11" fillId="0" borderId="0" xfId="1111" applyAlignment="1">
      <alignment horizontal="center" vertical="center" wrapText="1"/>
    </xf>
    <xf numFmtId="169" fontId="49" fillId="0" borderId="0" xfId="105" applyNumberFormat="1" applyFont="1" applyFill="1" applyBorder="1" applyAlignment="1" applyProtection="1">
      <alignment horizontal="center" vertical="center"/>
    </xf>
    <xf numFmtId="0" fontId="11" fillId="0" borderId="99" xfId="109" applyFont="1" applyBorder="1" applyAlignment="1" applyProtection="1">
      <alignment horizontal="center" vertical="center"/>
      <protection locked="0"/>
    </xf>
    <xf numFmtId="0" fontId="11" fillId="0" borderId="99" xfId="109" applyFont="1" applyBorder="1" applyAlignment="1" applyProtection="1">
      <alignment horizontal="center" vertical="center" wrapText="1"/>
      <protection locked="0"/>
    </xf>
    <xf numFmtId="0" fontId="62" fillId="26" borderId="46" xfId="109" applyFont="1" applyFill="1" applyBorder="1" applyAlignment="1">
      <alignment vertical="center"/>
    </xf>
    <xf numFmtId="0" fontId="15" fillId="26" borderId="51" xfId="109" applyFont="1" applyFill="1" applyBorder="1" applyAlignment="1">
      <alignment horizontal="center" vertical="center"/>
    </xf>
    <xf numFmtId="169" fontId="11" fillId="26" borderId="95" xfId="226" applyNumberFormat="1" applyFont="1" applyFill="1" applyBorder="1" applyAlignment="1">
      <alignment horizontal="center" vertical="center"/>
    </xf>
    <xf numFmtId="169" fontId="11" fillId="26" borderId="37" xfId="226" applyNumberFormat="1" applyFont="1" applyFill="1" applyBorder="1" applyAlignment="1">
      <alignment horizontal="center" vertical="center"/>
    </xf>
    <xf numFmtId="169" fontId="11" fillId="29" borderId="37" xfId="622" applyNumberFormat="1" applyFont="1" applyFill="1" applyBorder="1" applyAlignment="1" applyProtection="1">
      <alignment horizontal="right" vertical="center"/>
      <protection locked="0"/>
    </xf>
    <xf numFmtId="0" fontId="11" fillId="0" borderId="72" xfId="108" applyBorder="1" applyAlignment="1">
      <alignment vertical="center" wrapText="1"/>
    </xf>
    <xf numFmtId="0" fontId="14" fillId="63" borderId="38" xfId="108" applyFont="1" applyFill="1" applyBorder="1" applyAlignment="1">
      <alignment vertical="center" wrapText="1"/>
    </xf>
    <xf numFmtId="0" fontId="11" fillId="63" borderId="52" xfId="108" applyFill="1" applyBorder="1" applyAlignment="1">
      <alignment horizontal="center" vertical="center" wrapText="1"/>
    </xf>
    <xf numFmtId="0" fontId="11" fillId="0" borderId="87" xfId="108" applyBorder="1" applyAlignment="1">
      <alignment vertical="center" wrapText="1"/>
    </xf>
    <xf numFmtId="0" fontId="45" fillId="33" borderId="12" xfId="0" applyFont="1" applyFill="1" applyBorder="1" applyAlignment="1">
      <alignment horizontal="left" vertical="center" wrapText="1"/>
    </xf>
    <xf numFmtId="0" fontId="45" fillId="39" borderId="12" xfId="0" applyFont="1" applyFill="1" applyBorder="1" applyAlignment="1">
      <alignment horizontal="left" vertical="center" wrapText="1"/>
    </xf>
    <xf numFmtId="0" fontId="72" fillId="0" borderId="0" xfId="0" applyFont="1" applyAlignment="1">
      <alignment horizontal="left" wrapText="1"/>
    </xf>
    <xf numFmtId="0" fontId="51" fillId="0" borderId="108" xfId="0" applyFont="1" applyBorder="1" applyAlignment="1">
      <alignment horizontal="left" wrapText="1"/>
    </xf>
    <xf numFmtId="0" fontId="51" fillId="0" borderId="109" xfId="0" applyFont="1" applyBorder="1" applyAlignment="1">
      <alignment horizontal="left"/>
    </xf>
    <xf numFmtId="0" fontId="51" fillId="0" borderId="50" xfId="0" applyFont="1" applyBorder="1" applyAlignment="1">
      <alignment horizontal="left"/>
    </xf>
    <xf numFmtId="0" fontId="51" fillId="0" borderId="53" xfId="0" applyFont="1" applyBorder="1" applyAlignment="1">
      <alignment horizontal="left"/>
    </xf>
    <xf numFmtId="0" fontId="51" fillId="0" borderId="112" xfId="0" applyFont="1" applyBorder="1" applyAlignment="1">
      <alignment horizontal="left"/>
    </xf>
    <xf numFmtId="0" fontId="51" fillId="0" borderId="54" xfId="0" applyFont="1" applyBorder="1" applyAlignment="1">
      <alignment horizontal="left"/>
    </xf>
    <xf numFmtId="0" fontId="14" fillId="0" borderId="0" xfId="0" applyFont="1" applyAlignment="1">
      <alignment horizontal="center" textRotation="90" wrapText="1"/>
    </xf>
    <xf numFmtId="0" fontId="21" fillId="0" borderId="0" xfId="0" applyFont="1" applyAlignment="1">
      <alignment horizontal="right" vertical="top"/>
    </xf>
    <xf numFmtId="0" fontId="20" fillId="0" borderId="0" xfId="0" applyFont="1" applyAlignment="1">
      <alignment horizontal="right" vertical="top"/>
    </xf>
    <xf numFmtId="0" fontId="0" fillId="0" borderId="0" xfId="0"/>
    <xf numFmtId="0" fontId="14" fillId="0" borderId="0" xfId="0" applyFont="1" applyAlignment="1">
      <alignment horizontal="left" vertical="center" wrapText="1"/>
    </xf>
    <xf numFmtId="0" fontId="11" fillId="0" borderId="0" xfId="0" applyFont="1" applyAlignment="1">
      <alignment horizontal="left" vertical="center"/>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0" xfId="0" applyFont="1" applyAlignment="1">
      <alignment horizontal="center" vertical="center" wrapText="1"/>
    </xf>
    <xf numFmtId="0" fontId="14" fillId="0" borderId="68"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0" xfId="0" applyFont="1" applyBorder="1" applyAlignment="1">
      <alignment horizontal="center" vertical="center" wrapText="1"/>
    </xf>
    <xf numFmtId="1" fontId="21" fillId="0" borderId="38" xfId="0" applyNumberFormat="1" applyFont="1" applyBorder="1" applyAlignment="1">
      <alignment horizontal="center" vertical="center"/>
    </xf>
    <xf numFmtId="1" fontId="21" fillId="0" borderId="52" xfId="0" applyNumberFormat="1" applyFont="1" applyBorder="1" applyAlignment="1">
      <alignment horizontal="center" vertical="center"/>
    </xf>
    <xf numFmtId="165" fontId="45" fillId="0" borderId="38" xfId="0" applyNumberFormat="1" applyFont="1" applyBorder="1" applyAlignment="1" applyProtection="1">
      <alignment horizontal="center" vertical="center"/>
      <protection locked="0"/>
    </xf>
    <xf numFmtId="165" fontId="45" fillId="0" borderId="44" xfId="0" applyNumberFormat="1" applyFont="1" applyBorder="1" applyAlignment="1" applyProtection="1">
      <alignment horizontal="center" vertical="center"/>
      <protection locked="0"/>
    </xf>
    <xf numFmtId="165" fontId="45" fillId="0" borderId="52" xfId="0" applyNumberFormat="1" applyFont="1" applyBorder="1" applyAlignment="1" applyProtection="1">
      <alignment horizontal="center" vertical="center"/>
      <protection locked="0"/>
    </xf>
    <xf numFmtId="0" fontId="49" fillId="0" borderId="80" xfId="0" applyFont="1" applyBorder="1" applyAlignment="1">
      <alignment horizontal="center" vertical="center" wrapText="1"/>
    </xf>
    <xf numFmtId="0" fontId="49" fillId="0" borderId="71" xfId="0" applyFont="1" applyBorder="1" applyAlignment="1">
      <alignment horizontal="center" vertical="center" wrapText="1"/>
    </xf>
    <xf numFmtId="0" fontId="49" fillId="0" borderId="86" xfId="0" applyFont="1" applyBorder="1" applyAlignment="1">
      <alignment horizontal="center" vertical="center" wrapText="1"/>
    </xf>
    <xf numFmtId="0" fontId="11" fillId="0" borderId="31" xfId="108" applyBorder="1" applyAlignment="1">
      <alignment horizontal="center" vertical="center" wrapText="1"/>
    </xf>
    <xf numFmtId="0" fontId="11" fillId="0" borderId="35" xfId="108" applyBorder="1" applyAlignment="1">
      <alignment horizontal="center" vertical="center" wrapText="1"/>
    </xf>
    <xf numFmtId="0" fontId="11" fillId="0" borderId="112" xfId="108" applyBorder="1" applyAlignment="1">
      <alignment horizontal="center" vertical="center" wrapText="1"/>
    </xf>
    <xf numFmtId="0" fontId="11" fillId="0" borderId="107" xfId="108" applyBorder="1" applyAlignment="1">
      <alignment horizontal="center" vertical="center" wrapText="1"/>
    </xf>
    <xf numFmtId="0" fontId="22" fillId="0" borderId="95" xfId="108" applyFont="1" applyBorder="1" applyAlignment="1">
      <alignment horizontal="left" vertical="top" wrapText="1"/>
    </xf>
    <xf numFmtId="0" fontId="25" fillId="0" borderId="95" xfId="108" applyFont="1" applyBorder="1" applyAlignment="1">
      <alignment horizontal="left" vertical="center" wrapText="1"/>
    </xf>
    <xf numFmtId="0" fontId="14" fillId="0" borderId="110" xfId="1111" applyFont="1" applyBorder="1" applyAlignment="1">
      <alignment horizontal="left" vertical="center" wrapText="1"/>
    </xf>
    <xf numFmtId="0" fontId="15" fillId="0" borderId="16" xfId="108" applyFont="1" applyBorder="1" applyAlignment="1">
      <alignment horizontal="left" vertical="center" wrapText="1"/>
    </xf>
    <xf numFmtId="0" fontId="15" fillId="0" borderId="83" xfId="108" applyFont="1" applyBorder="1" applyAlignment="1">
      <alignment horizontal="left" vertical="center" wrapText="1"/>
    </xf>
    <xf numFmtId="0" fontId="22" fillId="0" borderId="79" xfId="1111" applyFont="1" applyBorder="1" applyAlignment="1">
      <alignment horizontal="left" vertical="center" wrapText="1"/>
    </xf>
    <xf numFmtId="0" fontId="22" fillId="0" borderId="37" xfId="1111" applyFont="1" applyBorder="1" applyAlignment="1">
      <alignment horizontal="left" vertical="center" wrapText="1"/>
    </xf>
    <xf numFmtId="0" fontId="11" fillId="0" borderId="86" xfId="1111" applyBorder="1" applyAlignment="1">
      <alignment horizontal="left" vertical="center" wrapText="1"/>
    </xf>
    <xf numFmtId="0" fontId="11" fillId="0" borderId="44" xfId="1111" applyBorder="1" applyAlignment="1">
      <alignment horizontal="left" vertical="center" wrapText="1"/>
    </xf>
    <xf numFmtId="0" fontId="11" fillId="0" borderId="121" xfId="1111" applyBorder="1" applyAlignment="1">
      <alignment horizontal="left" vertical="center" wrapText="1"/>
    </xf>
    <xf numFmtId="0" fontId="11" fillId="29" borderId="94" xfId="368" applyFont="1" applyFill="1" applyBorder="1" applyAlignment="1" applyProtection="1">
      <alignment horizontal="center" vertical="center" wrapText="1"/>
      <protection locked="0"/>
    </xf>
    <xf numFmtId="0" fontId="11" fillId="29" borderId="19" xfId="368" applyFont="1" applyFill="1" applyBorder="1" applyAlignment="1" applyProtection="1">
      <alignment horizontal="center" vertical="center" wrapText="1"/>
      <protection locked="0"/>
    </xf>
    <xf numFmtId="0" fontId="15" fillId="0" borderId="16" xfId="1111" applyFont="1" applyBorder="1" applyAlignment="1">
      <alignment horizontal="left" vertical="center" wrapText="1"/>
    </xf>
    <xf numFmtId="0" fontId="15" fillId="0" borderId="83" xfId="1111" applyFont="1" applyBorder="1" applyAlignment="1">
      <alignment horizontal="left" vertical="center" wrapText="1"/>
    </xf>
    <xf numFmtId="0" fontId="14" fillId="0" borderId="79" xfId="1111" applyFont="1" applyBorder="1" applyAlignment="1">
      <alignment horizontal="left" vertical="center" wrapText="1"/>
    </xf>
    <xf numFmtId="0" fontId="14" fillId="0" borderId="37" xfId="1111" applyFont="1" applyBorder="1" applyAlignment="1">
      <alignment horizontal="left" vertical="center" wrapText="1"/>
    </xf>
    <xf numFmtId="0" fontId="11" fillId="0" borderId="74"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74" xfId="1111" applyBorder="1" applyAlignment="1">
      <alignment horizontal="center" vertical="center" wrapText="1"/>
    </xf>
    <xf numFmtId="0" fontId="11" fillId="0" borderId="84" xfId="1111" applyBorder="1" applyAlignment="1">
      <alignment horizontal="center" vertical="center" wrapText="1"/>
    </xf>
    <xf numFmtId="0" fontId="15" fillId="27" borderId="86" xfId="108" applyFont="1" applyFill="1" applyBorder="1" applyAlignment="1">
      <alignment horizontal="center" vertical="center" wrapText="1"/>
    </xf>
    <xf numFmtId="0" fontId="15" fillId="27" borderId="44" xfId="108" applyFont="1" applyFill="1" applyBorder="1" applyAlignment="1">
      <alignment horizontal="center" vertical="center" wrapText="1"/>
    </xf>
    <xf numFmtId="0" fontId="15" fillId="27" borderId="121" xfId="108" applyFont="1" applyFill="1" applyBorder="1" applyAlignment="1">
      <alignment horizontal="center" vertical="center" wrapText="1"/>
    </xf>
    <xf numFmtId="0" fontId="11" fillId="0" borderId="79" xfId="108" applyBorder="1" applyAlignment="1">
      <alignment horizontal="left" vertical="center" wrapText="1"/>
    </xf>
    <xf numFmtId="0" fontId="11" fillId="0" borderId="37" xfId="1111" applyBorder="1" applyAlignment="1">
      <alignment horizontal="left" vertical="center" wrapText="1"/>
    </xf>
    <xf numFmtId="0" fontId="11" fillId="0" borderId="79" xfId="1111" applyBorder="1" applyAlignment="1">
      <alignment horizontal="left" vertical="center" wrapText="1"/>
    </xf>
    <xf numFmtId="0" fontId="27" fillId="26" borderId="38" xfId="108" applyFont="1" applyFill="1" applyBorder="1" applyAlignment="1">
      <alignment horizontal="left" vertical="center" wrapText="1"/>
    </xf>
    <xf numFmtId="0" fontId="27" fillId="26" borderId="44" xfId="108" applyFont="1" applyFill="1" applyBorder="1" applyAlignment="1">
      <alignment horizontal="left" vertical="center" wrapText="1"/>
    </xf>
    <xf numFmtId="0" fontId="27" fillId="26" borderId="52" xfId="108" applyFont="1" applyFill="1" applyBorder="1" applyAlignment="1">
      <alignment horizontal="left" vertical="center" wrapText="1"/>
    </xf>
    <xf numFmtId="0" fontId="11" fillId="0" borderId="123" xfId="108" applyBorder="1" applyAlignment="1">
      <alignment horizontal="center" vertical="center" wrapText="1"/>
    </xf>
    <xf numFmtId="0" fontId="11" fillId="0" borderId="14" xfId="108" applyBorder="1" applyAlignment="1">
      <alignment horizontal="center" vertical="center" wrapText="1"/>
    </xf>
    <xf numFmtId="0" fontId="11" fillId="0" borderId="24" xfId="108" applyBorder="1" applyAlignment="1">
      <alignment horizontal="center" vertical="center" wrapText="1"/>
    </xf>
    <xf numFmtId="0" fontId="15" fillId="63" borderId="61" xfId="108" applyFont="1" applyFill="1" applyBorder="1" applyAlignment="1">
      <alignment horizontal="left" vertical="center" wrapText="1"/>
    </xf>
    <xf numFmtId="0" fontId="15" fillId="63" borderId="62" xfId="108" applyFont="1" applyFill="1" applyBorder="1" applyAlignment="1">
      <alignment horizontal="left" vertical="center" wrapText="1"/>
    </xf>
    <xf numFmtId="0" fontId="15" fillId="63" borderId="57" xfId="108" applyFont="1" applyFill="1" applyBorder="1" applyAlignment="1">
      <alignment horizontal="left" vertical="center" wrapText="1"/>
    </xf>
    <xf numFmtId="0" fontId="11" fillId="29" borderId="94" xfId="72" applyFont="1" applyFill="1" applyBorder="1" applyAlignment="1" applyProtection="1">
      <alignment horizontal="center" vertical="center"/>
      <protection locked="0"/>
    </xf>
    <xf numFmtId="0" fontId="11" fillId="29" borderId="20" xfId="72" applyFont="1" applyFill="1" applyBorder="1" applyAlignment="1" applyProtection="1">
      <alignment horizontal="center" vertical="center"/>
      <protection locked="0"/>
    </xf>
    <xf numFmtId="0" fontId="11" fillId="29" borderId="19" xfId="72" applyFont="1" applyFill="1" applyBorder="1" applyAlignment="1" applyProtection="1">
      <alignment horizontal="center" vertical="center"/>
      <protection locked="0"/>
    </xf>
    <xf numFmtId="0" fontId="15" fillId="27" borderId="36" xfId="108" applyFont="1" applyFill="1" applyBorder="1" applyAlignment="1">
      <alignment horizontal="center" vertical="center" wrapText="1"/>
    </xf>
    <xf numFmtId="0" fontId="15" fillId="27" borderId="34" xfId="108" applyFont="1" applyFill="1" applyBorder="1" applyAlignment="1">
      <alignment horizontal="center" vertical="center" wrapText="1"/>
    </xf>
    <xf numFmtId="0" fontId="15" fillId="27" borderId="35" xfId="108" applyFont="1" applyFill="1" applyBorder="1" applyAlignment="1">
      <alignment horizontal="center" vertical="center" wrapText="1"/>
    </xf>
    <xf numFmtId="0" fontId="27" fillId="26" borderId="46" xfId="108" applyFont="1" applyFill="1" applyBorder="1" applyAlignment="1">
      <alignment vertical="center" wrapText="1"/>
    </xf>
    <xf numFmtId="0" fontId="27" fillId="26" borderId="14" xfId="108" applyFont="1" applyFill="1" applyBorder="1" applyAlignment="1">
      <alignment vertical="center" wrapText="1"/>
    </xf>
    <xf numFmtId="0" fontId="11" fillId="0" borderId="95" xfId="108" applyBorder="1" applyAlignment="1">
      <alignment horizontal="left" vertical="center" wrapText="1"/>
    </xf>
    <xf numFmtId="0" fontId="14" fillId="0" borderId="95" xfId="108" applyFont="1" applyBorder="1" applyAlignment="1">
      <alignment horizontal="left" vertical="center" wrapText="1"/>
    </xf>
    <xf numFmtId="0" fontId="11" fillId="0" borderId="37" xfId="108" applyBorder="1" applyAlignment="1">
      <alignment horizontal="left" vertical="center" wrapText="1"/>
    </xf>
    <xf numFmtId="0" fontId="15" fillId="0" borderId="103" xfId="108" applyFont="1" applyBorder="1" applyAlignment="1">
      <alignment horizontal="left" vertical="center" wrapText="1"/>
    </xf>
    <xf numFmtId="0" fontId="15" fillId="0" borderId="91" xfId="108" applyFont="1" applyBorder="1" applyAlignment="1">
      <alignment horizontal="left" vertical="center" wrapText="1"/>
    </xf>
    <xf numFmtId="0" fontId="22" fillId="0" borderId="79" xfId="108" applyFont="1" applyBorder="1" applyAlignment="1">
      <alignment horizontal="left" vertical="top" wrapText="1"/>
    </xf>
    <xf numFmtId="0" fontId="25" fillId="0" borderId="79" xfId="108" applyFont="1" applyBorder="1" applyAlignment="1">
      <alignment horizontal="left" vertical="center" wrapText="1"/>
    </xf>
    <xf numFmtId="0" fontId="15" fillId="0" borderId="0" xfId="108" applyFont="1" applyAlignment="1">
      <alignment horizontal="left" vertical="center"/>
    </xf>
    <xf numFmtId="0" fontId="11" fillId="0" borderId="95" xfId="108" applyBorder="1" applyAlignment="1" applyProtection="1">
      <alignment horizontal="center" vertical="center"/>
      <protection locked="0"/>
    </xf>
    <xf numFmtId="0" fontId="11" fillId="0" borderId="95" xfId="0" applyFont="1" applyBorder="1" applyAlignment="1" applyProtection="1">
      <alignment horizontal="center" vertical="center"/>
      <protection locked="0"/>
    </xf>
    <xf numFmtId="0" fontId="14" fillId="63" borderId="79" xfId="108" applyFont="1" applyFill="1" applyBorder="1" applyAlignment="1">
      <alignment horizontal="center" vertical="center" wrapText="1"/>
    </xf>
    <xf numFmtId="0" fontId="11" fillId="0" borderId="95" xfId="108" applyBorder="1" applyAlignment="1">
      <alignment horizontal="center" vertical="center" wrapText="1"/>
    </xf>
    <xf numFmtId="0" fontId="11" fillId="0" borderId="37" xfId="108" applyBorder="1" applyAlignment="1">
      <alignment horizontal="center" vertical="center" wrapText="1"/>
    </xf>
    <xf numFmtId="0" fontId="11" fillId="0" borderId="95" xfId="108" applyBorder="1" applyAlignment="1" applyProtection="1">
      <alignment horizontal="center" vertical="center" wrapText="1"/>
      <protection locked="0"/>
    </xf>
    <xf numFmtId="0" fontId="15" fillId="27" borderId="31" xfId="108" applyFont="1" applyFill="1" applyBorder="1" applyAlignment="1">
      <alignment horizontal="center" vertical="center" wrapText="1"/>
    </xf>
    <xf numFmtId="0" fontId="11" fillId="0" borderId="95" xfId="108" applyBorder="1" applyAlignment="1">
      <alignment horizontal="center" vertical="center"/>
    </xf>
    <xf numFmtId="0" fontId="11" fillId="0" borderId="37" xfId="108" applyBorder="1" applyAlignment="1">
      <alignment horizontal="center" vertical="center"/>
    </xf>
    <xf numFmtId="0" fontId="11" fillId="0" borderId="90" xfId="108" applyBorder="1" applyAlignment="1">
      <alignment horizontal="center" vertical="center"/>
    </xf>
    <xf numFmtId="0" fontId="11" fillId="0" borderId="84" xfId="108" applyBorder="1" applyAlignment="1">
      <alignment horizontal="center" vertical="center"/>
    </xf>
    <xf numFmtId="0" fontId="100" fillId="0" borderId="0" xfId="0" applyFont="1" applyAlignment="1">
      <alignment horizontal="left" vertical="center" wrapText="1"/>
    </xf>
    <xf numFmtId="0" fontId="100" fillId="0" borderId="14" xfId="0" applyFont="1" applyBorder="1" applyAlignment="1">
      <alignment horizontal="left" vertical="center" wrapText="1"/>
    </xf>
    <xf numFmtId="0" fontId="11" fillId="0" borderId="95" xfId="0" applyFont="1" applyBorder="1" applyAlignment="1" applyProtection="1">
      <alignment horizontal="center" vertical="center" wrapText="1"/>
      <protection locked="0"/>
    </xf>
    <xf numFmtId="0" fontId="11" fillId="0" borderId="84" xfId="108" applyBorder="1" applyAlignment="1">
      <alignment horizontal="center" vertical="center" wrapText="1"/>
    </xf>
    <xf numFmtId="0" fontId="11" fillId="0" borderId="90" xfId="108" applyBorder="1" applyAlignment="1">
      <alignment horizontal="center" vertical="center" wrapText="1"/>
    </xf>
    <xf numFmtId="0" fontId="11" fillId="29" borderId="94" xfId="72" applyFont="1" applyFill="1" applyBorder="1" applyAlignment="1" applyProtection="1">
      <alignment horizontal="center" vertical="center" wrapText="1"/>
      <protection locked="0"/>
    </xf>
    <xf numFmtId="0" fontId="11" fillId="29" borderId="19" xfId="72" applyFont="1" applyFill="1" applyBorder="1" applyAlignment="1" applyProtection="1">
      <alignment horizontal="center" vertical="center" wrapText="1"/>
      <protection locked="0"/>
    </xf>
    <xf numFmtId="0" fontId="22" fillId="0" borderId="37" xfId="108" applyFont="1" applyBorder="1" applyAlignment="1">
      <alignment horizontal="left" vertical="center" wrapText="1"/>
    </xf>
    <xf numFmtId="0" fontId="11" fillId="0" borderId="74" xfId="108" applyBorder="1" applyAlignment="1">
      <alignment horizontal="center" vertical="center" wrapText="1"/>
    </xf>
    <xf numFmtId="0" fontId="11" fillId="0" borderId="124" xfId="72" applyFont="1" applyFill="1" applyBorder="1" applyAlignment="1" applyProtection="1">
      <alignment horizontal="center" vertical="center" wrapText="1"/>
    </xf>
    <xf numFmtId="0" fontId="11" fillId="0" borderId="125" xfId="72" applyFont="1" applyFill="1" applyBorder="1" applyAlignment="1" applyProtection="1">
      <alignment horizontal="center" vertical="center" wrapText="1"/>
    </xf>
    <xf numFmtId="0" fontId="22" fillId="0" borderId="95" xfId="108" applyFont="1" applyBorder="1" applyAlignment="1">
      <alignment horizontal="left" vertical="center" wrapText="1"/>
    </xf>
    <xf numFmtId="0" fontId="11" fillId="0" borderId="95" xfId="1111" applyBorder="1" applyAlignment="1">
      <alignment horizontal="left" vertical="center" wrapText="1"/>
    </xf>
    <xf numFmtId="0" fontId="11" fillId="0" borderId="120" xfId="108" applyBorder="1" applyAlignment="1">
      <alignment horizontal="center" vertical="center" wrapText="1"/>
    </xf>
    <xf numFmtId="0" fontId="11" fillId="0" borderId="88" xfId="108" applyBorder="1" applyAlignment="1">
      <alignment horizontal="center" vertical="center" wrapText="1"/>
    </xf>
    <xf numFmtId="0" fontId="0" fillId="0" borderId="99"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11" fillId="0" borderId="110" xfId="108" applyBorder="1" applyAlignment="1" applyProtection="1">
      <alignment horizontal="center" vertical="center" wrapText="1"/>
      <protection locked="0"/>
    </xf>
    <xf numFmtId="0" fontId="11" fillId="0" borderId="39" xfId="108" applyBorder="1" applyAlignment="1" applyProtection="1">
      <alignment horizontal="center" vertical="center" wrapText="1"/>
      <protection locked="0"/>
    </xf>
    <xf numFmtId="0" fontId="11" fillId="0" borderId="40" xfId="108" applyBorder="1" applyAlignment="1" applyProtection="1">
      <alignment horizontal="center" vertical="center" wrapText="1"/>
      <protection locked="0"/>
    </xf>
    <xf numFmtId="0" fontId="67" fillId="63" borderId="38" xfId="0" applyFont="1" applyFill="1" applyBorder="1" applyAlignment="1">
      <alignment horizontal="left" vertical="center"/>
    </xf>
    <xf numFmtId="0" fontId="67" fillId="63" borderId="44" xfId="0" applyFont="1" applyFill="1" applyBorder="1" applyAlignment="1">
      <alignment horizontal="left" vertical="center"/>
    </xf>
    <xf numFmtId="0" fontId="67" fillId="63" borderId="52" xfId="0" applyFont="1" applyFill="1" applyBorder="1" applyAlignment="1">
      <alignment horizontal="left" vertical="center"/>
    </xf>
    <xf numFmtId="0" fontId="59" fillId="0" borderId="99" xfId="0" applyFont="1" applyBorder="1" applyAlignment="1" applyProtection="1">
      <alignment horizontal="center" vertical="center"/>
      <protection locked="0"/>
    </xf>
    <xf numFmtId="0" fontId="67" fillId="63" borderId="36" xfId="0" applyFont="1" applyFill="1" applyBorder="1" applyAlignment="1">
      <alignment horizontal="left" vertical="center"/>
    </xf>
    <xf numFmtId="0" fontId="67" fillId="63" borderId="34" xfId="0" applyFont="1" applyFill="1" applyBorder="1" applyAlignment="1">
      <alignment horizontal="left" vertical="center"/>
    </xf>
    <xf numFmtId="0" fontId="67" fillId="63" borderId="35" xfId="0" applyFont="1" applyFill="1" applyBorder="1" applyAlignment="1">
      <alignment horizontal="left" vertical="center"/>
    </xf>
    <xf numFmtId="0" fontId="0" fillId="0" borderId="104" xfId="0" applyBorder="1" applyAlignment="1" applyProtection="1">
      <alignment horizontal="center" vertical="center"/>
      <protection locked="0"/>
    </xf>
    <xf numFmtId="0" fontId="62" fillId="63" borderId="44" xfId="0" applyFont="1" applyFill="1" applyBorder="1" applyAlignment="1">
      <alignment horizontal="left" vertical="center"/>
    </xf>
    <xf numFmtId="0" fontId="0" fillId="0" borderId="15" xfId="0" applyBorder="1" applyAlignment="1">
      <alignment horizontal="left" vertical="center"/>
    </xf>
    <xf numFmtId="0" fontId="0" fillId="0" borderId="35" xfId="0" applyBorder="1" applyAlignment="1">
      <alignment horizontal="left" vertical="center"/>
    </xf>
    <xf numFmtId="0" fontId="67" fillId="27" borderId="36" xfId="0"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vertical="center"/>
    </xf>
    <xf numFmtId="0" fontId="0" fillId="0" borderId="100" xfId="0" applyBorder="1" applyAlignment="1">
      <alignment horizontal="center" vertical="center"/>
    </xf>
    <xf numFmtId="0" fontId="0" fillId="0" borderId="99" xfId="0" applyBorder="1" applyAlignment="1">
      <alignment horizontal="center" vertical="center"/>
    </xf>
    <xf numFmtId="0" fontId="67" fillId="63" borderId="38" xfId="0" applyFont="1" applyFill="1" applyBorder="1" applyAlignment="1">
      <alignment horizontal="center" vertical="center"/>
    </xf>
    <xf numFmtId="0" fontId="0" fillId="0" borderId="44" xfId="0" applyBorder="1" applyAlignment="1">
      <alignment horizontal="center" vertical="center"/>
    </xf>
    <xf numFmtId="0" fontId="0" fillId="0" borderId="52" xfId="0" applyBorder="1" applyAlignment="1">
      <alignment horizontal="center" vertical="center"/>
    </xf>
    <xf numFmtId="0" fontId="11" fillId="29" borderId="94" xfId="0" applyFont="1" applyFill="1" applyBorder="1" applyAlignment="1" applyProtection="1">
      <alignment horizontal="center" vertical="center"/>
      <protection locked="0"/>
    </xf>
    <xf numFmtId="0" fontId="11" fillId="29" borderId="19" xfId="0" applyFont="1" applyFill="1" applyBorder="1" applyAlignment="1" applyProtection="1">
      <alignment horizontal="center" vertical="center"/>
      <protection locked="0"/>
    </xf>
    <xf numFmtId="0" fontId="11" fillId="29" borderId="20" xfId="0" applyFont="1" applyFill="1" applyBorder="1" applyAlignment="1" applyProtection="1">
      <alignment horizontal="center" vertical="center"/>
      <protection locked="0"/>
    </xf>
    <xf numFmtId="0" fontId="11" fillId="29" borderId="20" xfId="0" applyFont="1" applyFill="1" applyBorder="1" applyAlignment="1">
      <alignment horizontal="center" vertical="center"/>
    </xf>
    <xf numFmtId="0" fontId="11" fillId="29" borderId="19" xfId="0" applyFont="1" applyFill="1" applyBorder="1" applyAlignment="1">
      <alignment horizontal="center" vertical="center"/>
    </xf>
    <xf numFmtId="0" fontId="15" fillId="0" borderId="72" xfId="108" applyFont="1" applyBorder="1" applyAlignment="1">
      <alignment horizontal="left" vertical="center" wrapText="1"/>
    </xf>
    <xf numFmtId="0" fontId="12" fillId="0" borderId="72" xfId="0" applyFont="1" applyBorder="1" applyAlignment="1">
      <alignment horizontal="left" vertical="center" wrapText="1"/>
    </xf>
    <xf numFmtId="0" fontId="12" fillId="0" borderId="32" xfId="0" applyFont="1" applyBorder="1" applyAlignment="1">
      <alignment horizontal="left" vertical="center" wrapText="1"/>
    </xf>
    <xf numFmtId="0" fontId="11" fillId="0" borderId="110" xfId="108" applyBorder="1" applyAlignment="1">
      <alignment vertical="center" wrapText="1"/>
    </xf>
    <xf numFmtId="0" fontId="0" fillId="0" borderId="39" xfId="0" applyBorder="1" applyAlignment="1">
      <alignment vertical="center" wrapText="1"/>
    </xf>
    <xf numFmtId="0" fontId="0" fillId="0" borderId="119" xfId="0" applyBorder="1" applyAlignment="1">
      <alignment vertical="center" wrapText="1"/>
    </xf>
    <xf numFmtId="0" fontId="11" fillId="0" borderId="50" xfId="108" applyBorder="1" applyAlignment="1">
      <alignment horizontal="center" vertical="center" wrapText="1"/>
    </xf>
    <xf numFmtId="0" fontId="11" fillId="0" borderId="100" xfId="108" applyBorder="1" applyAlignment="1">
      <alignment horizontal="left" vertical="center" wrapText="1"/>
    </xf>
    <xf numFmtId="0" fontId="11" fillId="0" borderId="99" xfId="108" applyBorder="1" applyAlignment="1">
      <alignment horizontal="left" vertical="center" wrapText="1"/>
    </xf>
    <xf numFmtId="0" fontId="11" fillId="0" borderId="85" xfId="108" applyBorder="1" applyAlignment="1">
      <alignment horizontal="left" vertical="center" wrapText="1"/>
    </xf>
    <xf numFmtId="0" fontId="11" fillId="0" borderId="77" xfId="108" applyBorder="1" applyAlignment="1">
      <alignment horizontal="left" vertical="center" wrapText="1"/>
    </xf>
    <xf numFmtId="0" fontId="15" fillId="27" borderId="38" xfId="108" applyFont="1" applyFill="1" applyBorder="1" applyAlignment="1">
      <alignment horizontal="left" vertical="center" wrapText="1"/>
    </xf>
    <xf numFmtId="0" fontId="15" fillId="27" borderId="44" xfId="108" applyFont="1" applyFill="1" applyBorder="1" applyAlignment="1">
      <alignment horizontal="left" vertical="center" wrapText="1"/>
    </xf>
    <xf numFmtId="0" fontId="15" fillId="27" borderId="121" xfId="108" applyFont="1" applyFill="1" applyBorder="1" applyAlignment="1">
      <alignment horizontal="left" vertical="center" wrapText="1"/>
    </xf>
    <xf numFmtId="0" fontId="11" fillId="0" borderId="40" xfId="108" applyBorder="1" applyAlignment="1">
      <alignment horizontal="left" vertical="center" wrapText="1"/>
    </xf>
    <xf numFmtId="0" fontId="11" fillId="0" borderId="108" xfId="108" applyBorder="1" applyAlignment="1">
      <alignment horizontal="left" vertical="center" wrapText="1"/>
    </xf>
    <xf numFmtId="0" fontId="11" fillId="0" borderId="109" xfId="108" applyBorder="1" applyAlignment="1">
      <alignment horizontal="left" vertical="center" wrapText="1"/>
    </xf>
    <xf numFmtId="0" fontId="11" fillId="0" borderId="112" xfId="108" applyBorder="1" applyAlignment="1">
      <alignment horizontal="left" vertical="center" wrapText="1"/>
    </xf>
    <xf numFmtId="0" fontId="11" fillId="0" borderId="54" xfId="108" applyBorder="1" applyAlignment="1">
      <alignment horizontal="left" vertical="center" wrapText="1"/>
    </xf>
    <xf numFmtId="0" fontId="15" fillId="0" borderId="87" xfId="108" applyFont="1" applyBorder="1" applyAlignment="1">
      <alignment horizontal="left" vertical="center" wrapText="1"/>
    </xf>
    <xf numFmtId="0" fontId="11" fillId="0" borderId="53" xfId="0" applyFont="1" applyBorder="1" applyAlignment="1">
      <alignment horizontal="left" vertical="center" wrapText="1"/>
    </xf>
    <xf numFmtId="0" fontId="11" fillId="0" borderId="53" xfId="0" applyFont="1" applyBorder="1" applyAlignment="1">
      <alignment horizontal="left" vertical="center"/>
    </xf>
    <xf numFmtId="0" fontId="11" fillId="0" borderId="54" xfId="0" applyFont="1" applyBorder="1" applyAlignment="1">
      <alignment horizontal="left" vertical="center"/>
    </xf>
    <xf numFmtId="49" fontId="65" fillId="0" borderId="0" xfId="0" applyNumberFormat="1" applyFont="1" applyAlignment="1">
      <alignment vertical="center" wrapText="1"/>
    </xf>
    <xf numFmtId="0" fontId="11" fillId="0" borderId="0" xfId="108" applyAlignment="1">
      <alignment horizontal="center" vertical="center" wrapText="1"/>
    </xf>
    <xf numFmtId="0" fontId="51" fillId="0" borderId="100" xfId="0" applyFont="1" applyBorder="1" applyAlignment="1">
      <alignment horizontal="center" vertical="center"/>
    </xf>
    <xf numFmtId="0" fontId="51" fillId="0" borderId="99" xfId="0" applyFont="1" applyBorder="1" applyAlignment="1">
      <alignment horizontal="center" vertical="center"/>
    </xf>
    <xf numFmtId="0" fontId="15" fillId="26" borderId="103" xfId="0" applyFont="1" applyFill="1" applyBorder="1" applyAlignment="1">
      <alignment horizontal="left" vertical="center"/>
    </xf>
    <xf numFmtId="0" fontId="15" fillId="26" borderId="95" xfId="0" applyFont="1" applyFill="1" applyBorder="1" applyAlignment="1">
      <alignment horizontal="left" vertical="center"/>
    </xf>
    <xf numFmtId="0" fontId="15" fillId="26" borderId="76" xfId="0" applyFont="1" applyFill="1" applyBorder="1" applyAlignment="1">
      <alignment horizontal="left" vertical="center"/>
    </xf>
    <xf numFmtId="0" fontId="15" fillId="26" borderId="98" xfId="0" applyFont="1" applyFill="1" applyBorder="1" applyAlignment="1">
      <alignment horizontal="left" vertical="center"/>
    </xf>
    <xf numFmtId="0" fontId="15" fillId="26" borderId="77" xfId="0" applyFont="1" applyFill="1" applyBorder="1" applyAlignment="1">
      <alignment horizontal="left" vertical="center"/>
    </xf>
    <xf numFmtId="0" fontId="14" fillId="29" borderId="100" xfId="0" applyFont="1" applyFill="1" applyBorder="1" applyAlignment="1" applyProtection="1">
      <alignment horizontal="center" vertical="center"/>
      <protection locked="0"/>
    </xf>
    <xf numFmtId="0" fontId="14" fillId="29" borderId="102" xfId="0" applyFont="1" applyFill="1" applyBorder="1" applyAlignment="1" applyProtection="1">
      <alignment horizontal="center" vertical="center"/>
      <protection locked="0"/>
    </xf>
    <xf numFmtId="0" fontId="14" fillId="29" borderId="99" xfId="0" applyFont="1" applyFill="1" applyBorder="1" applyAlignment="1" applyProtection="1">
      <alignment horizontal="center" vertical="center"/>
      <protection locked="0"/>
    </xf>
    <xf numFmtId="0" fontId="51" fillId="27" borderId="95" xfId="0" applyFont="1" applyFill="1" applyBorder="1" applyAlignment="1">
      <alignment horizontal="center" vertical="center" wrapText="1"/>
    </xf>
    <xf numFmtId="0" fontId="51" fillId="27" borderId="95" xfId="0" applyFont="1" applyFill="1" applyBorder="1" applyAlignment="1">
      <alignment horizontal="center" vertical="center"/>
    </xf>
    <xf numFmtId="0" fontId="51" fillId="0" borderId="0" xfId="0" applyFont="1" applyAlignment="1">
      <alignment horizontal="center" vertical="center" wrapText="1"/>
    </xf>
    <xf numFmtId="0" fontId="51" fillId="0" borderId="0" xfId="0" applyFont="1" applyAlignment="1">
      <alignment horizontal="center" vertical="center"/>
    </xf>
    <xf numFmtId="169" fontId="51" fillId="26" borderId="95" xfId="123" applyNumberFormat="1" applyFont="1" applyFill="1" applyBorder="1" applyAlignment="1">
      <alignment horizontal="center" vertical="center"/>
    </xf>
    <xf numFmtId="0" fontId="51" fillId="0" borderId="104" xfId="123" applyFont="1" applyBorder="1" applyAlignment="1">
      <alignment horizontal="left" vertical="center"/>
    </xf>
    <xf numFmtId="0" fontId="51" fillId="0" borderId="99" xfId="123" applyFont="1" applyBorder="1" applyAlignment="1">
      <alignment horizontal="left" vertical="center"/>
    </xf>
    <xf numFmtId="0" fontId="51" fillId="0" borderId="93" xfId="123" applyFont="1" applyBorder="1" applyAlignment="1">
      <alignment horizontal="left" vertical="center"/>
    </xf>
    <xf numFmtId="0" fontId="51" fillId="0" borderId="109" xfId="123" applyFont="1" applyBorder="1" applyAlignment="1">
      <alignment horizontal="left" vertical="center"/>
    </xf>
    <xf numFmtId="0" fontId="59" fillId="0" borderId="113" xfId="123" applyFont="1" applyBorder="1" applyAlignment="1">
      <alignment horizontal="left" vertical="center"/>
    </xf>
    <xf numFmtId="0" fontId="59" fillId="0" borderId="114" xfId="123" applyFont="1" applyBorder="1" applyAlignment="1">
      <alignment horizontal="left" vertical="center"/>
    </xf>
    <xf numFmtId="0" fontId="49" fillId="0" borderId="0" xfId="123" applyFont="1" applyAlignment="1">
      <alignment horizontal="center" textRotation="90"/>
    </xf>
    <xf numFmtId="0" fontId="11" fillId="0" borderId="0" xfId="0" applyFont="1"/>
    <xf numFmtId="0" fontId="27" fillId="26" borderId="38" xfId="108" applyFont="1" applyFill="1" applyBorder="1" applyAlignment="1">
      <alignment vertical="center" wrapText="1"/>
    </xf>
    <xf numFmtId="0" fontId="27" fillId="26" borderId="44" xfId="108" applyFont="1" applyFill="1" applyBorder="1" applyAlignment="1">
      <alignment vertical="center" wrapText="1"/>
    </xf>
    <xf numFmtId="0" fontId="22" fillId="0" borderId="0" xfId="108" applyFont="1" applyAlignment="1">
      <alignment horizontal="left" vertical="top" wrapText="1"/>
    </xf>
    <xf numFmtId="0" fontId="11" fillId="0" borderId="0" xfId="1111" applyAlignment="1">
      <alignment wrapText="1"/>
    </xf>
    <xf numFmtId="0" fontId="11" fillId="0" borderId="0" xfId="108"/>
    <xf numFmtId="0" fontId="22" fillId="0" borderId="100" xfId="108" applyFont="1" applyBorder="1" applyAlignment="1">
      <alignment horizontal="center" vertical="center" wrapText="1"/>
    </xf>
    <xf numFmtId="0" fontId="22" fillId="0" borderId="101" xfId="108" applyFont="1" applyBorder="1" applyAlignment="1">
      <alignment horizontal="center" vertical="center" wrapText="1"/>
    </xf>
    <xf numFmtId="0" fontId="27" fillId="27" borderId="17" xfId="108" applyFont="1" applyFill="1" applyBorder="1" applyAlignment="1">
      <alignment horizontal="center" vertical="center" wrapText="1"/>
    </xf>
    <xf numFmtId="0" fontId="27" fillId="27" borderId="57" xfId="108" applyFont="1" applyFill="1" applyBorder="1" applyAlignment="1">
      <alignment horizontal="center" vertical="center" wrapText="1"/>
    </xf>
    <xf numFmtId="0" fontId="11" fillId="0" borderId="100" xfId="1111" applyBorder="1" applyAlignment="1">
      <alignment horizontal="center" vertical="center" wrapText="1"/>
    </xf>
    <xf numFmtId="0" fontId="11" fillId="0" borderId="101" xfId="1111" applyBorder="1" applyAlignment="1">
      <alignment horizontal="center" vertical="center" wrapText="1"/>
    </xf>
    <xf numFmtId="0" fontId="11" fillId="0" borderId="108" xfId="1111" applyBorder="1" applyAlignment="1">
      <alignment horizontal="center" vertical="center" wrapText="1"/>
    </xf>
    <xf numFmtId="0" fontId="11" fillId="0" borderId="114" xfId="1111" applyBorder="1" applyAlignment="1">
      <alignment horizontal="center" vertical="center" wrapText="1"/>
    </xf>
    <xf numFmtId="0" fontId="52" fillId="0" borderId="0" xfId="108" applyFont="1" applyAlignment="1">
      <alignment horizontal="left" vertical="center"/>
    </xf>
    <xf numFmtId="0" fontId="14" fillId="0" borderId="95" xfId="367" applyFont="1" applyBorder="1" applyAlignment="1">
      <alignment vertical="center" wrapText="1"/>
    </xf>
    <xf numFmtId="0" fontId="14" fillId="0" borderId="110" xfId="367" applyFont="1" applyBorder="1" applyAlignment="1">
      <alignment vertical="center" wrapText="1"/>
    </xf>
    <xf numFmtId="0" fontId="14" fillId="0" borderId="40" xfId="367" applyFont="1" applyBorder="1" applyAlignment="1">
      <alignment vertical="center" wrapText="1"/>
    </xf>
    <xf numFmtId="0" fontId="11" fillId="29" borderId="30" xfId="108" applyFill="1" applyBorder="1" applyAlignment="1" applyProtection="1">
      <alignment horizontal="center" vertical="center" wrapText="1"/>
      <protection locked="0"/>
    </xf>
    <xf numFmtId="0" fontId="11" fillId="29" borderId="20" xfId="108" applyFill="1" applyBorder="1" applyAlignment="1" applyProtection="1">
      <alignment horizontal="center" vertical="center" wrapText="1"/>
      <protection locked="0"/>
    </xf>
    <xf numFmtId="0" fontId="11" fillId="29" borderId="19" xfId="108" applyFill="1" applyBorder="1" applyAlignment="1" applyProtection="1">
      <alignment horizontal="center" vertical="center" wrapText="1"/>
      <protection locked="0"/>
    </xf>
    <xf numFmtId="0" fontId="59" fillId="0" borderId="53" xfId="367" applyBorder="1" applyAlignment="1">
      <alignment horizontal="center" vertical="center"/>
    </xf>
    <xf numFmtId="0" fontId="59" fillId="0" borderId="0" xfId="367" applyAlignment="1">
      <alignment horizontal="center" vertical="center"/>
    </xf>
    <xf numFmtId="0" fontId="59" fillId="0" borderId="25" xfId="367" applyBorder="1" applyAlignment="1">
      <alignment horizontal="center" vertical="center"/>
    </xf>
    <xf numFmtId="0" fontId="14" fillId="0" borderId="0" xfId="108" applyFont="1" applyAlignment="1">
      <alignment wrapText="1"/>
    </xf>
    <xf numFmtId="0" fontId="67" fillId="0" borderId="61" xfId="109" applyFont="1" applyBorder="1" applyAlignment="1">
      <alignment horizontal="center" vertical="center"/>
    </xf>
    <xf numFmtId="0" fontId="67" fillId="0" borderId="62" xfId="109" applyFont="1" applyBorder="1" applyAlignment="1">
      <alignment horizontal="center" vertical="center"/>
    </xf>
    <xf numFmtId="0" fontId="67" fillId="0" borderId="57" xfId="109" applyFont="1" applyBorder="1" applyAlignment="1">
      <alignment horizontal="center" vertical="center"/>
    </xf>
    <xf numFmtId="0" fontId="50" fillId="27" borderId="17" xfId="6" applyFont="1" applyFill="1" applyBorder="1" applyAlignment="1" applyProtection="1">
      <alignment horizontal="center" vertical="center"/>
    </xf>
    <xf numFmtId="0" fontId="50" fillId="27" borderId="62" xfId="6" applyFont="1" applyFill="1" applyBorder="1" applyAlignment="1" applyProtection="1">
      <alignment horizontal="center" vertical="center"/>
    </xf>
    <xf numFmtId="0" fontId="50" fillId="27" borderId="57" xfId="6" applyFont="1" applyFill="1" applyBorder="1" applyAlignment="1" applyProtection="1">
      <alignment horizontal="center" vertical="center"/>
    </xf>
    <xf numFmtId="0" fontId="67" fillId="0" borderId="38" xfId="109" applyFont="1" applyBorder="1" applyAlignment="1">
      <alignment horizontal="center" vertical="center"/>
    </xf>
    <xf numFmtId="0" fontId="58" fillId="0" borderId="44" xfId="109" applyFont="1" applyBorder="1" applyAlignment="1">
      <alignment horizontal="center" vertical="center"/>
    </xf>
    <xf numFmtId="0" fontId="58" fillId="0" borderId="52" xfId="109" applyFont="1" applyBorder="1" applyAlignment="1">
      <alignment horizontal="center" vertical="center"/>
    </xf>
    <xf numFmtId="0" fontId="67" fillId="0" borderId="44" xfId="109" applyFont="1" applyBorder="1" applyAlignment="1">
      <alignment horizontal="center" vertical="center"/>
    </xf>
    <xf numFmtId="0" fontId="67" fillId="0" borderId="52" xfId="109" applyFont="1" applyBorder="1" applyAlignment="1">
      <alignment horizontal="center" vertical="center"/>
    </xf>
    <xf numFmtId="0" fontId="67" fillId="27" borderId="61" xfId="109" applyFont="1" applyFill="1" applyBorder="1" applyAlignment="1">
      <alignment horizontal="center" vertical="center"/>
    </xf>
    <xf numFmtId="0" fontId="67" fillId="27" borderId="62" xfId="109" applyFont="1" applyFill="1" applyBorder="1" applyAlignment="1">
      <alignment horizontal="center" vertical="center"/>
    </xf>
    <xf numFmtId="0" fontId="67" fillId="27" borderId="57" xfId="109" applyFont="1" applyFill="1" applyBorder="1" applyAlignment="1">
      <alignment horizontal="center" vertical="center"/>
    </xf>
    <xf numFmtId="0" fontId="50" fillId="27" borderId="61" xfId="6" applyFont="1" applyFill="1" applyBorder="1" applyAlignment="1" applyProtection="1">
      <alignment horizontal="center" vertical="center"/>
    </xf>
    <xf numFmtId="0" fontId="58" fillId="59" borderId="95" xfId="366" applyFont="1" applyFill="1" applyBorder="1" applyAlignment="1">
      <alignment horizontal="center"/>
    </xf>
    <xf numFmtId="0" fontId="81" fillId="58" borderId="36" xfId="109" applyFont="1" applyFill="1" applyBorder="1" applyAlignment="1">
      <alignment horizontal="center" vertical="center"/>
    </xf>
    <xf numFmtId="0" fontId="81" fillId="58" borderId="34" xfId="109" applyFont="1" applyFill="1" applyBorder="1" applyAlignment="1">
      <alignment horizontal="center" vertical="center"/>
    </xf>
    <xf numFmtId="0" fontId="67" fillId="58" borderId="34" xfId="109" applyFont="1" applyFill="1" applyBorder="1" applyAlignment="1">
      <alignment horizontal="center" vertical="center"/>
    </xf>
    <xf numFmtId="0" fontId="67" fillId="58" borderId="35" xfId="109" applyFont="1" applyFill="1" applyBorder="1" applyAlignment="1">
      <alignment horizontal="center" vertical="center"/>
    </xf>
    <xf numFmtId="0" fontId="67" fillId="58" borderId="46" xfId="109" applyFont="1" applyFill="1" applyBorder="1" applyAlignment="1">
      <alignment horizontal="center" vertical="center"/>
    </xf>
    <xf numFmtId="0" fontId="67" fillId="58" borderId="14" xfId="109" applyFont="1" applyFill="1" applyBorder="1" applyAlignment="1">
      <alignment horizontal="center" vertical="center"/>
    </xf>
    <xf numFmtId="0" fontId="67" fillId="58" borderId="24" xfId="109" applyFont="1" applyFill="1" applyBorder="1" applyAlignment="1">
      <alignment horizontal="center" vertical="center"/>
    </xf>
    <xf numFmtId="0" fontId="81" fillId="59" borderId="36" xfId="109" applyFont="1" applyFill="1" applyBorder="1" applyAlignment="1">
      <alignment horizontal="center" vertical="center"/>
    </xf>
    <xf numFmtId="0" fontId="81" fillId="59" borderId="34" xfId="109" applyFont="1" applyFill="1" applyBorder="1" applyAlignment="1">
      <alignment horizontal="center" vertical="center"/>
    </xf>
    <xf numFmtId="0" fontId="81" fillId="59" borderId="35" xfId="109" applyFont="1" applyFill="1" applyBorder="1" applyAlignment="1">
      <alignment horizontal="center" vertical="center"/>
    </xf>
    <xf numFmtId="0" fontId="81" fillId="59" borderId="46" xfId="109" applyFont="1" applyFill="1" applyBorder="1" applyAlignment="1">
      <alignment horizontal="center" vertical="center"/>
    </xf>
    <xf numFmtId="0" fontId="81" fillId="59" borderId="14" xfId="109" applyFont="1" applyFill="1" applyBorder="1" applyAlignment="1">
      <alignment horizontal="center" vertical="center"/>
    </xf>
    <xf numFmtId="0" fontId="81" fillId="59" borderId="24" xfId="109" applyFont="1" applyFill="1" applyBorder="1" applyAlignment="1">
      <alignment horizontal="center" vertical="center"/>
    </xf>
    <xf numFmtId="0" fontId="58" fillId="58" borderId="95" xfId="366" applyFont="1" applyFill="1" applyBorder="1" applyAlignment="1">
      <alignment horizontal="center"/>
    </xf>
    <xf numFmtId="0" fontId="67" fillId="0" borderId="16" xfId="109" applyFont="1" applyBorder="1" applyAlignment="1">
      <alignment horizontal="center" vertical="center"/>
    </xf>
    <xf numFmtId="0" fontId="67" fillId="0" borderId="79" xfId="109" applyFont="1" applyBorder="1" applyAlignment="1">
      <alignment horizontal="center" vertical="center"/>
    </xf>
    <xf numFmtId="0" fontId="67" fillId="0" borderId="17" xfId="109" applyFont="1" applyBorder="1" applyAlignment="1">
      <alignment horizontal="center" vertical="center"/>
    </xf>
    <xf numFmtId="0" fontId="58" fillId="59" borderId="100" xfId="366" applyFont="1" applyFill="1" applyBorder="1" applyAlignment="1">
      <alignment horizontal="center"/>
    </xf>
    <xf numFmtId="0" fontId="58" fillId="59" borderId="99" xfId="366" applyFont="1" applyFill="1" applyBorder="1" applyAlignment="1">
      <alignment horizontal="center"/>
    </xf>
    <xf numFmtId="0" fontId="58" fillId="58" borderId="100" xfId="366" applyFont="1" applyFill="1" applyBorder="1" applyAlignment="1">
      <alignment horizontal="center"/>
    </xf>
    <xf numFmtId="0" fontId="58" fillId="58" borderId="99" xfId="366" applyFont="1" applyFill="1" applyBorder="1" applyAlignment="1">
      <alignment horizontal="center"/>
    </xf>
    <xf numFmtId="0" fontId="14" fillId="0" borderId="30" xfId="1111" applyFont="1" applyBorder="1" applyAlignment="1">
      <alignment horizontal="left" vertical="center" wrapText="1"/>
    </xf>
    <xf numFmtId="0" fontId="14" fillId="0" borderId="20" xfId="1111" applyFont="1" applyBorder="1" applyAlignment="1">
      <alignment horizontal="left" vertical="center" wrapText="1"/>
    </xf>
    <xf numFmtId="0" fontId="11" fillId="29" borderId="20" xfId="72" applyFont="1" applyFill="1" applyBorder="1" applyAlignment="1" applyProtection="1">
      <alignment horizontal="center" vertical="center" wrapText="1"/>
      <protection locked="0"/>
    </xf>
    <xf numFmtId="0" fontId="11" fillId="29" borderId="13" xfId="72" applyFont="1" applyFill="1" applyBorder="1" applyAlignment="1" applyProtection="1">
      <alignment horizontal="center" vertical="center" wrapText="1"/>
      <protection locked="0"/>
    </xf>
    <xf numFmtId="0" fontId="49" fillId="29" borderId="94" xfId="72" applyFont="1" applyFill="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14" fillId="27" borderId="38" xfId="108" applyFont="1" applyFill="1" applyBorder="1" applyAlignment="1">
      <alignment horizontal="center" vertical="center" wrapText="1"/>
    </xf>
    <xf numFmtId="0" fontId="14" fillId="27" borderId="44" xfId="108" applyFont="1" applyFill="1" applyBorder="1" applyAlignment="1">
      <alignment horizontal="center" vertical="center" wrapText="1"/>
    </xf>
    <xf numFmtId="0" fontId="14" fillId="27" borderId="52" xfId="108" applyFont="1" applyFill="1" applyBorder="1" applyAlignment="1">
      <alignment horizontal="center" vertical="center" wrapText="1"/>
    </xf>
    <xf numFmtId="0" fontId="11" fillId="0" borderId="16" xfId="108" applyBorder="1" applyAlignment="1">
      <alignment horizontal="center" vertical="center" wrapText="1"/>
    </xf>
    <xf numFmtId="0" fontId="11" fillId="0" borderId="17" xfId="108" applyBorder="1" applyAlignment="1">
      <alignment horizontal="center" vertical="center" wrapText="1"/>
    </xf>
    <xf numFmtId="0" fontId="11" fillId="0" borderId="103" xfId="108" applyBorder="1" applyAlignment="1">
      <alignment horizontal="center" vertical="center" wrapText="1"/>
    </xf>
    <xf numFmtId="0" fontId="11" fillId="0" borderId="100" xfId="108" applyBorder="1" applyAlignment="1">
      <alignment horizontal="center" vertical="center" wrapText="1"/>
    </xf>
    <xf numFmtId="0" fontId="11" fillId="0" borderId="83" xfId="108" applyBorder="1" applyAlignment="1">
      <alignment horizontal="center" vertical="center" wrapText="1"/>
    </xf>
    <xf numFmtId="0" fontId="11" fillId="0" borderId="85" xfId="108" applyBorder="1" applyAlignment="1">
      <alignment horizontal="center" vertical="center" wrapText="1"/>
    </xf>
    <xf numFmtId="0" fontId="15" fillId="27" borderId="38" xfId="108" applyFont="1" applyFill="1" applyBorder="1" applyAlignment="1">
      <alignment horizontal="center" vertical="center"/>
    </xf>
    <xf numFmtId="0" fontId="15" fillId="27" borderId="44" xfId="108" applyFont="1" applyFill="1" applyBorder="1" applyAlignment="1">
      <alignment horizontal="center" vertical="center"/>
    </xf>
    <xf numFmtId="0" fontId="15" fillId="27" borderId="18" xfId="108" applyFont="1" applyFill="1" applyBorder="1" applyAlignment="1">
      <alignment horizontal="center" vertical="center"/>
    </xf>
    <xf numFmtId="0" fontId="15" fillId="27" borderId="10" xfId="108" applyFont="1" applyFill="1" applyBorder="1" applyAlignment="1">
      <alignment horizontal="center" vertical="center"/>
    </xf>
    <xf numFmtId="0" fontId="15" fillId="27" borderId="11" xfId="108" applyFont="1" applyFill="1" applyBorder="1" applyAlignment="1">
      <alignment horizontal="center" vertical="center"/>
    </xf>
    <xf numFmtId="0" fontId="51" fillId="29" borderId="20" xfId="72" applyFont="1" applyFill="1" applyBorder="1" applyAlignment="1" applyProtection="1">
      <alignment horizontal="center" vertical="center"/>
      <protection locked="0"/>
    </xf>
    <xf numFmtId="0" fontId="51" fillId="29" borderId="19" xfId="72" applyFont="1" applyFill="1" applyBorder="1" applyAlignment="1" applyProtection="1">
      <alignment horizontal="center" vertical="center"/>
      <protection locked="0"/>
    </xf>
    <xf numFmtId="0" fontId="67" fillId="0" borderId="38" xfId="886" applyFont="1" applyBorder="1" applyAlignment="1">
      <alignment horizontal="center" vertical="center"/>
    </xf>
    <xf numFmtId="0" fontId="67" fillId="0" borderId="44" xfId="886" applyFont="1" applyBorder="1" applyAlignment="1">
      <alignment horizontal="center" vertical="center"/>
    </xf>
    <xf numFmtId="0" fontId="67" fillId="0" borderId="52" xfId="886" applyFont="1" applyBorder="1" applyAlignment="1">
      <alignment horizontal="center" vertical="center"/>
    </xf>
  </cellXfs>
  <cellStyles count="1112">
    <cellStyle name="20 % - Akzent1" xfId="146" builtinId="30" hidden="1"/>
    <cellStyle name="20 % - Akzent2 2" xfId="1" xr:uid="{00000000-0005-0000-0000-000001000000}"/>
    <cellStyle name="20 % - Akzent2 2 2" xfId="2" xr:uid="{00000000-0005-0000-0000-000002000000}"/>
    <cellStyle name="20 % - Akzent3" xfId="151" builtinId="38" hidden="1"/>
    <cellStyle name="20 % - Akzent4" xfId="154" builtinId="42" hidden="1"/>
    <cellStyle name="20 % - Akzent5" xfId="157" builtinId="46" hidden="1"/>
    <cellStyle name="20 % - Akzent6" xfId="160" builtinId="50" hidden="1"/>
    <cellStyle name="20% - Akzent1" xfId="3" xr:uid="{00000000-0005-0000-0000-000007000000}"/>
    <cellStyle name="20% - Akzent1 2" xfId="4" xr:uid="{00000000-0005-0000-0000-000008000000}"/>
    <cellStyle name="20% - Akzent1 3" xfId="5" xr:uid="{00000000-0005-0000-0000-000009000000}"/>
    <cellStyle name="20% - Akzent2" xfId="6" xr:uid="{00000000-0005-0000-0000-00000A000000}"/>
    <cellStyle name="20% - Akzent2 2" xfId="7" xr:uid="{00000000-0005-0000-0000-00000B000000}"/>
    <cellStyle name="20% - Akzent2 2 2" xfId="8" xr:uid="{00000000-0005-0000-0000-00000C000000}"/>
    <cellStyle name="20% - Akzent2 2 3" xfId="9" xr:uid="{00000000-0005-0000-0000-00000D000000}"/>
    <cellStyle name="20% - Akzent2 3" xfId="10" xr:uid="{00000000-0005-0000-0000-00000E000000}"/>
    <cellStyle name="20% - Akzent3" xfId="11" xr:uid="{00000000-0005-0000-0000-00000F000000}"/>
    <cellStyle name="20% - Akzent3 2" xfId="12" xr:uid="{00000000-0005-0000-0000-000010000000}"/>
    <cellStyle name="20% - Akzent3 3" xfId="13" xr:uid="{00000000-0005-0000-0000-000011000000}"/>
    <cellStyle name="20% - Akzent4" xfId="14" xr:uid="{00000000-0005-0000-0000-000012000000}"/>
    <cellStyle name="20% - Akzent4 2" xfId="15" xr:uid="{00000000-0005-0000-0000-000013000000}"/>
    <cellStyle name="20% - Akzent4 3" xfId="16" xr:uid="{00000000-0005-0000-0000-000014000000}"/>
    <cellStyle name="20% - Akzent5" xfId="17" xr:uid="{00000000-0005-0000-0000-000015000000}"/>
    <cellStyle name="20% - Akzent5 2" xfId="18" xr:uid="{00000000-0005-0000-0000-000016000000}"/>
    <cellStyle name="20% - Akzent5 3" xfId="19" xr:uid="{00000000-0005-0000-0000-000017000000}"/>
    <cellStyle name="20% - Akzent6" xfId="20" xr:uid="{00000000-0005-0000-0000-000018000000}"/>
    <cellStyle name="20% - Akzent6 2" xfId="21" xr:uid="{00000000-0005-0000-0000-000019000000}"/>
    <cellStyle name="20% - Akzent6 3" xfId="22" xr:uid="{00000000-0005-0000-0000-00001A000000}"/>
    <cellStyle name="40 % - Akzent1" xfId="147" builtinId="31" hidden="1"/>
    <cellStyle name="40 % - Akzent2" xfId="149" builtinId="35" hidden="1"/>
    <cellStyle name="40 % - Akzent3" xfId="152" builtinId="39" hidden="1"/>
    <cellStyle name="40 % - Akzent4" xfId="155" builtinId="43" hidden="1"/>
    <cellStyle name="40 % - Akzent5" xfId="158" builtinId="47" hidden="1"/>
    <cellStyle name="40 % - Akzent6" xfId="161" builtinId="51" hidden="1"/>
    <cellStyle name="40% - Akzent1" xfId="23" xr:uid="{00000000-0005-0000-0000-000021000000}"/>
    <cellStyle name="40% - Akzent1 2" xfId="24" xr:uid="{00000000-0005-0000-0000-000022000000}"/>
    <cellStyle name="40% - Akzent1 3" xfId="25" xr:uid="{00000000-0005-0000-0000-000023000000}"/>
    <cellStyle name="40% - Akzent2" xfId="26" xr:uid="{00000000-0005-0000-0000-000024000000}"/>
    <cellStyle name="40% - Akzent2 2" xfId="27" xr:uid="{00000000-0005-0000-0000-000025000000}"/>
    <cellStyle name="40% - Akzent2 3" xfId="28" xr:uid="{00000000-0005-0000-0000-000026000000}"/>
    <cellStyle name="40% - Akzent3" xfId="29" xr:uid="{00000000-0005-0000-0000-000027000000}"/>
    <cellStyle name="40% - Akzent3 2" xfId="30" xr:uid="{00000000-0005-0000-0000-000028000000}"/>
    <cellStyle name="40% - Akzent3 3" xfId="31" xr:uid="{00000000-0005-0000-0000-000029000000}"/>
    <cellStyle name="40% - Akzent4" xfId="32" xr:uid="{00000000-0005-0000-0000-00002A000000}"/>
    <cellStyle name="40% - Akzent4 2" xfId="33" xr:uid="{00000000-0005-0000-0000-00002B000000}"/>
    <cellStyle name="40% - Akzent4 3" xfId="34" xr:uid="{00000000-0005-0000-0000-00002C000000}"/>
    <cellStyle name="40% - Akzent5" xfId="35" xr:uid="{00000000-0005-0000-0000-00002D000000}"/>
    <cellStyle name="40% - Akzent5 2" xfId="36" xr:uid="{00000000-0005-0000-0000-00002E000000}"/>
    <cellStyle name="40% - Akzent5 3" xfId="37" xr:uid="{00000000-0005-0000-0000-00002F000000}"/>
    <cellStyle name="40% - Akzent6" xfId="38" xr:uid="{00000000-0005-0000-0000-000030000000}"/>
    <cellStyle name="40% - Akzent6 2" xfId="39" xr:uid="{00000000-0005-0000-0000-000031000000}"/>
    <cellStyle name="40% - Akzent6 3" xfId="40" xr:uid="{00000000-0005-0000-0000-000032000000}"/>
    <cellStyle name="60 % - Akzent1" xfId="148" builtinId="32" hidden="1"/>
    <cellStyle name="60 % - Akzent2" xfId="150" builtinId="36" hidden="1"/>
    <cellStyle name="60 % - Akzent3" xfId="153" builtinId="40" hidden="1"/>
    <cellStyle name="60 % - Akzent4" xfId="156" builtinId="44" hidden="1"/>
    <cellStyle name="60 % - Akzent5" xfId="159" builtinId="48" hidden="1"/>
    <cellStyle name="60 % - Akzent6" xfId="162" builtinId="52" hidden="1"/>
    <cellStyle name="60% - Akzent1" xfId="41" xr:uid="{00000000-0005-0000-0000-000039000000}"/>
    <cellStyle name="60% - Akzent2" xfId="42" xr:uid="{00000000-0005-0000-0000-00003A000000}"/>
    <cellStyle name="60% - Akzent3" xfId="43" xr:uid="{00000000-0005-0000-0000-00003B000000}"/>
    <cellStyle name="60% - Akzent4" xfId="44" xr:uid="{00000000-0005-0000-0000-00003C000000}"/>
    <cellStyle name="60% - Akzent5" xfId="45" xr:uid="{00000000-0005-0000-0000-00003D000000}"/>
    <cellStyle name="60% - Akzent6" xfId="46" xr:uid="{00000000-0005-0000-0000-00003E000000}"/>
    <cellStyle name="Akzent1" xfId="47" xr:uid="{00000000-0005-0000-0000-00003F000000}"/>
    <cellStyle name="Akzent1 2" xfId="48" xr:uid="{00000000-0005-0000-0000-000040000000}"/>
    <cellStyle name="Akzent2" xfId="49" xr:uid="{00000000-0005-0000-0000-000041000000}"/>
    <cellStyle name="Akzent2 2" xfId="50" xr:uid="{00000000-0005-0000-0000-000042000000}"/>
    <cellStyle name="Akzent3" xfId="51" xr:uid="{00000000-0005-0000-0000-000043000000}"/>
    <cellStyle name="Akzent3 2" xfId="52" xr:uid="{00000000-0005-0000-0000-000044000000}"/>
    <cellStyle name="Akzent4" xfId="53" xr:uid="{00000000-0005-0000-0000-000045000000}"/>
    <cellStyle name="Akzent4 2" xfId="54" xr:uid="{00000000-0005-0000-0000-000046000000}"/>
    <cellStyle name="Akzent5" xfId="55" xr:uid="{00000000-0005-0000-0000-000047000000}"/>
    <cellStyle name="Akzent5 2" xfId="56" xr:uid="{00000000-0005-0000-0000-000048000000}"/>
    <cellStyle name="Akzent6" xfId="57" xr:uid="{00000000-0005-0000-0000-000049000000}"/>
    <cellStyle name="Akzent6 2" xfId="58" xr:uid="{00000000-0005-0000-0000-00004A000000}"/>
    <cellStyle name="Ausgabe" xfId="59" xr:uid="{00000000-0005-0000-0000-00004B000000}"/>
    <cellStyle name="Ausgabe 2" xfId="60" xr:uid="{00000000-0005-0000-0000-00004C000000}"/>
    <cellStyle name="Ausgabe 3" xfId="61" xr:uid="{00000000-0005-0000-0000-00004D000000}"/>
    <cellStyle name="Ausgabe 3 2" xfId="370" xr:uid="{00000000-0005-0000-0000-00004E000000}"/>
    <cellStyle name="Ausgabe 4" xfId="369" xr:uid="{00000000-0005-0000-0000-00004F000000}"/>
    <cellStyle name="Berechnung" xfId="62" xr:uid="{00000000-0005-0000-0000-000050000000}"/>
    <cellStyle name="Berechnung 2" xfId="63" xr:uid="{00000000-0005-0000-0000-000051000000}"/>
    <cellStyle name="Berechnung 2 2" xfId="372" xr:uid="{00000000-0005-0000-0000-000052000000}"/>
    <cellStyle name="Berechnung 3" xfId="371" xr:uid="{00000000-0005-0000-0000-000053000000}"/>
    <cellStyle name="Dezimal 2" xfId="64" xr:uid="{00000000-0005-0000-0000-000054000000}"/>
    <cellStyle name="Dezimal 2 10" xfId="866" xr:uid="{00000000-0005-0000-0000-000055000000}"/>
    <cellStyle name="Dezimal 2 2" xfId="65" xr:uid="{00000000-0005-0000-0000-000056000000}"/>
    <cellStyle name="Dezimal 2 2 2" xfId="66" xr:uid="{00000000-0005-0000-0000-000057000000}"/>
    <cellStyle name="Dezimal 2 2 2 2" xfId="206" xr:uid="{00000000-0005-0000-0000-000058000000}"/>
    <cellStyle name="Dezimal 2 2 2 2 2" xfId="327" xr:uid="{00000000-0005-0000-0000-000059000000}"/>
    <cellStyle name="Dezimal 2 2 2 2 2 2" xfId="584" xr:uid="{00000000-0005-0000-0000-00005A000000}"/>
    <cellStyle name="Dezimal 2 2 2 2 2 3" xfId="828" xr:uid="{00000000-0005-0000-0000-00005B000000}"/>
    <cellStyle name="Dezimal 2 2 2 2 2 4" xfId="1071" xr:uid="{00000000-0005-0000-0000-00005C000000}"/>
    <cellStyle name="Dezimal 2 2 2 2 3" xfId="463" xr:uid="{00000000-0005-0000-0000-00005D000000}"/>
    <cellStyle name="Dezimal 2 2 2 2 4" xfId="707" xr:uid="{00000000-0005-0000-0000-00005E000000}"/>
    <cellStyle name="Dezimal 2 2 2 2 5" xfId="950" xr:uid="{00000000-0005-0000-0000-00005F000000}"/>
    <cellStyle name="Dezimal 2 2 2 3" xfId="165" xr:uid="{00000000-0005-0000-0000-000060000000}"/>
    <cellStyle name="Dezimal 2 2 2 3 2" xfId="286" xr:uid="{00000000-0005-0000-0000-000061000000}"/>
    <cellStyle name="Dezimal 2 2 2 3 2 2" xfId="543" xr:uid="{00000000-0005-0000-0000-000062000000}"/>
    <cellStyle name="Dezimal 2 2 2 3 2 3" xfId="787" xr:uid="{00000000-0005-0000-0000-000063000000}"/>
    <cellStyle name="Dezimal 2 2 2 3 2 4" xfId="1030" xr:uid="{00000000-0005-0000-0000-000064000000}"/>
    <cellStyle name="Dezimal 2 2 2 3 3" xfId="422" xr:uid="{00000000-0005-0000-0000-000065000000}"/>
    <cellStyle name="Dezimal 2 2 2 3 4" xfId="666" xr:uid="{00000000-0005-0000-0000-000066000000}"/>
    <cellStyle name="Dezimal 2 2 2 3 5" xfId="909" xr:uid="{00000000-0005-0000-0000-000067000000}"/>
    <cellStyle name="Dezimal 2 2 2 4" xfId="246" xr:uid="{00000000-0005-0000-0000-000068000000}"/>
    <cellStyle name="Dezimal 2 2 2 4 2" xfId="503" xr:uid="{00000000-0005-0000-0000-000069000000}"/>
    <cellStyle name="Dezimal 2 2 2 4 3" xfId="747" xr:uid="{00000000-0005-0000-0000-00006A000000}"/>
    <cellStyle name="Dezimal 2 2 2 4 4" xfId="990" xr:uid="{00000000-0005-0000-0000-00006B000000}"/>
    <cellStyle name="Dezimal 2 2 2 5" xfId="375" xr:uid="{00000000-0005-0000-0000-00006C000000}"/>
    <cellStyle name="Dezimal 2 2 2 6" xfId="625" xr:uid="{00000000-0005-0000-0000-00006D000000}"/>
    <cellStyle name="Dezimal 2 2 2 7" xfId="868" xr:uid="{00000000-0005-0000-0000-00006E000000}"/>
    <cellStyle name="Dezimal 2 2 3" xfId="205" xr:uid="{00000000-0005-0000-0000-00006F000000}"/>
    <cellStyle name="Dezimal 2 2 3 2" xfId="326" xr:uid="{00000000-0005-0000-0000-000070000000}"/>
    <cellStyle name="Dezimal 2 2 3 2 2" xfId="583" xr:uid="{00000000-0005-0000-0000-000071000000}"/>
    <cellStyle name="Dezimal 2 2 3 2 3" xfId="827" xr:uid="{00000000-0005-0000-0000-000072000000}"/>
    <cellStyle name="Dezimal 2 2 3 2 4" xfId="1070" xr:uid="{00000000-0005-0000-0000-000073000000}"/>
    <cellStyle name="Dezimal 2 2 3 3" xfId="462" xr:uid="{00000000-0005-0000-0000-000074000000}"/>
    <cellStyle name="Dezimal 2 2 3 4" xfId="706" xr:uid="{00000000-0005-0000-0000-000075000000}"/>
    <cellStyle name="Dezimal 2 2 3 5" xfId="949" xr:uid="{00000000-0005-0000-0000-000076000000}"/>
    <cellStyle name="Dezimal 2 2 4" xfId="164" xr:uid="{00000000-0005-0000-0000-000077000000}"/>
    <cellStyle name="Dezimal 2 2 4 2" xfId="285" xr:uid="{00000000-0005-0000-0000-000078000000}"/>
    <cellStyle name="Dezimal 2 2 4 2 2" xfId="542" xr:uid="{00000000-0005-0000-0000-000079000000}"/>
    <cellStyle name="Dezimal 2 2 4 2 3" xfId="786" xr:uid="{00000000-0005-0000-0000-00007A000000}"/>
    <cellStyle name="Dezimal 2 2 4 2 4" xfId="1029" xr:uid="{00000000-0005-0000-0000-00007B000000}"/>
    <cellStyle name="Dezimal 2 2 4 3" xfId="421" xr:uid="{00000000-0005-0000-0000-00007C000000}"/>
    <cellStyle name="Dezimal 2 2 4 4" xfId="665" xr:uid="{00000000-0005-0000-0000-00007D000000}"/>
    <cellStyle name="Dezimal 2 2 4 5" xfId="908" xr:uid="{00000000-0005-0000-0000-00007E000000}"/>
    <cellStyle name="Dezimal 2 2 5" xfId="245" xr:uid="{00000000-0005-0000-0000-00007F000000}"/>
    <cellStyle name="Dezimal 2 2 5 2" xfId="502" xr:uid="{00000000-0005-0000-0000-000080000000}"/>
    <cellStyle name="Dezimal 2 2 5 3" xfId="746" xr:uid="{00000000-0005-0000-0000-000081000000}"/>
    <cellStyle name="Dezimal 2 2 5 4" xfId="989" xr:uid="{00000000-0005-0000-0000-000082000000}"/>
    <cellStyle name="Dezimal 2 2 6" xfId="374" xr:uid="{00000000-0005-0000-0000-000083000000}"/>
    <cellStyle name="Dezimal 2 2 7" xfId="624" xr:uid="{00000000-0005-0000-0000-000084000000}"/>
    <cellStyle name="Dezimal 2 2 8" xfId="867" xr:uid="{00000000-0005-0000-0000-000085000000}"/>
    <cellStyle name="Dezimal 2 3" xfId="67" xr:uid="{00000000-0005-0000-0000-000086000000}"/>
    <cellStyle name="Dezimal 2 3 2" xfId="207" xr:uid="{00000000-0005-0000-0000-000087000000}"/>
    <cellStyle name="Dezimal 2 3 2 2" xfId="328" xr:uid="{00000000-0005-0000-0000-000088000000}"/>
    <cellStyle name="Dezimal 2 3 2 2 2" xfId="585" xr:uid="{00000000-0005-0000-0000-000089000000}"/>
    <cellStyle name="Dezimal 2 3 2 2 3" xfId="829" xr:uid="{00000000-0005-0000-0000-00008A000000}"/>
    <cellStyle name="Dezimal 2 3 2 2 4" xfId="1072" xr:uid="{00000000-0005-0000-0000-00008B000000}"/>
    <cellStyle name="Dezimal 2 3 2 3" xfId="464" xr:uid="{00000000-0005-0000-0000-00008C000000}"/>
    <cellStyle name="Dezimal 2 3 2 4" xfId="708" xr:uid="{00000000-0005-0000-0000-00008D000000}"/>
    <cellStyle name="Dezimal 2 3 2 5" xfId="951" xr:uid="{00000000-0005-0000-0000-00008E000000}"/>
    <cellStyle name="Dezimal 2 3 3" xfId="166" xr:uid="{00000000-0005-0000-0000-00008F000000}"/>
    <cellStyle name="Dezimal 2 3 3 2" xfId="287" xr:uid="{00000000-0005-0000-0000-000090000000}"/>
    <cellStyle name="Dezimal 2 3 3 2 2" xfId="544" xr:uid="{00000000-0005-0000-0000-000091000000}"/>
    <cellStyle name="Dezimal 2 3 3 2 3" xfId="788" xr:uid="{00000000-0005-0000-0000-000092000000}"/>
    <cellStyle name="Dezimal 2 3 3 2 4" xfId="1031" xr:uid="{00000000-0005-0000-0000-000093000000}"/>
    <cellStyle name="Dezimal 2 3 3 3" xfId="423" xr:uid="{00000000-0005-0000-0000-000094000000}"/>
    <cellStyle name="Dezimal 2 3 3 4" xfId="667" xr:uid="{00000000-0005-0000-0000-000095000000}"/>
    <cellStyle name="Dezimal 2 3 3 5" xfId="910" xr:uid="{00000000-0005-0000-0000-000096000000}"/>
    <cellStyle name="Dezimal 2 3 4" xfId="247" xr:uid="{00000000-0005-0000-0000-000097000000}"/>
    <cellStyle name="Dezimal 2 3 4 2" xfId="504" xr:uid="{00000000-0005-0000-0000-000098000000}"/>
    <cellStyle name="Dezimal 2 3 4 3" xfId="748" xr:uid="{00000000-0005-0000-0000-000099000000}"/>
    <cellStyle name="Dezimal 2 3 4 4" xfId="991" xr:uid="{00000000-0005-0000-0000-00009A000000}"/>
    <cellStyle name="Dezimal 2 3 5" xfId="376" xr:uid="{00000000-0005-0000-0000-00009B000000}"/>
    <cellStyle name="Dezimal 2 3 6" xfId="626" xr:uid="{00000000-0005-0000-0000-00009C000000}"/>
    <cellStyle name="Dezimal 2 3 7" xfId="869" xr:uid="{00000000-0005-0000-0000-00009D000000}"/>
    <cellStyle name="Dezimal 2 4" xfId="68" xr:uid="{00000000-0005-0000-0000-00009E000000}"/>
    <cellStyle name="Dezimal 2 4 2" xfId="208" xr:uid="{00000000-0005-0000-0000-00009F000000}"/>
    <cellStyle name="Dezimal 2 4 2 2" xfId="329" xr:uid="{00000000-0005-0000-0000-0000A0000000}"/>
    <cellStyle name="Dezimal 2 4 2 2 2" xfId="586" xr:uid="{00000000-0005-0000-0000-0000A1000000}"/>
    <cellStyle name="Dezimal 2 4 2 2 3" xfId="830" xr:uid="{00000000-0005-0000-0000-0000A2000000}"/>
    <cellStyle name="Dezimal 2 4 2 2 4" xfId="1073" xr:uid="{00000000-0005-0000-0000-0000A3000000}"/>
    <cellStyle name="Dezimal 2 4 2 3" xfId="465" xr:uid="{00000000-0005-0000-0000-0000A4000000}"/>
    <cellStyle name="Dezimal 2 4 2 4" xfId="709" xr:uid="{00000000-0005-0000-0000-0000A5000000}"/>
    <cellStyle name="Dezimal 2 4 2 5" xfId="952" xr:uid="{00000000-0005-0000-0000-0000A6000000}"/>
    <cellStyle name="Dezimal 2 4 3" xfId="167" xr:uid="{00000000-0005-0000-0000-0000A7000000}"/>
    <cellStyle name="Dezimal 2 4 3 2" xfId="288" xr:uid="{00000000-0005-0000-0000-0000A8000000}"/>
    <cellStyle name="Dezimal 2 4 3 2 2" xfId="545" xr:uid="{00000000-0005-0000-0000-0000A9000000}"/>
    <cellStyle name="Dezimal 2 4 3 2 3" xfId="789" xr:uid="{00000000-0005-0000-0000-0000AA000000}"/>
    <cellStyle name="Dezimal 2 4 3 2 4" xfId="1032" xr:uid="{00000000-0005-0000-0000-0000AB000000}"/>
    <cellStyle name="Dezimal 2 4 3 3" xfId="424" xr:uid="{00000000-0005-0000-0000-0000AC000000}"/>
    <cellStyle name="Dezimal 2 4 3 4" xfId="668" xr:uid="{00000000-0005-0000-0000-0000AD000000}"/>
    <cellStyle name="Dezimal 2 4 3 5" xfId="911" xr:uid="{00000000-0005-0000-0000-0000AE000000}"/>
    <cellStyle name="Dezimal 2 4 4" xfId="248" xr:uid="{00000000-0005-0000-0000-0000AF000000}"/>
    <cellStyle name="Dezimal 2 4 4 2" xfId="505" xr:uid="{00000000-0005-0000-0000-0000B0000000}"/>
    <cellStyle name="Dezimal 2 4 4 3" xfId="749" xr:uid="{00000000-0005-0000-0000-0000B1000000}"/>
    <cellStyle name="Dezimal 2 4 4 4" xfId="992" xr:uid="{00000000-0005-0000-0000-0000B2000000}"/>
    <cellStyle name="Dezimal 2 4 5" xfId="377" xr:uid="{00000000-0005-0000-0000-0000B3000000}"/>
    <cellStyle name="Dezimal 2 4 6" xfId="627" xr:uid="{00000000-0005-0000-0000-0000B4000000}"/>
    <cellStyle name="Dezimal 2 4 7" xfId="870" xr:uid="{00000000-0005-0000-0000-0000B5000000}"/>
    <cellStyle name="Dezimal 2 5" xfId="204" xr:uid="{00000000-0005-0000-0000-0000B6000000}"/>
    <cellStyle name="Dezimal 2 5 2" xfId="325" xr:uid="{00000000-0005-0000-0000-0000B7000000}"/>
    <cellStyle name="Dezimal 2 5 2 2" xfId="582" xr:uid="{00000000-0005-0000-0000-0000B8000000}"/>
    <cellStyle name="Dezimal 2 5 2 3" xfId="826" xr:uid="{00000000-0005-0000-0000-0000B9000000}"/>
    <cellStyle name="Dezimal 2 5 2 4" xfId="1069" xr:uid="{00000000-0005-0000-0000-0000BA000000}"/>
    <cellStyle name="Dezimal 2 5 3" xfId="461" xr:uid="{00000000-0005-0000-0000-0000BB000000}"/>
    <cellStyle name="Dezimal 2 5 4" xfId="705" xr:uid="{00000000-0005-0000-0000-0000BC000000}"/>
    <cellStyle name="Dezimal 2 5 5" xfId="948" xr:uid="{00000000-0005-0000-0000-0000BD000000}"/>
    <cellStyle name="Dezimal 2 6" xfId="163" xr:uid="{00000000-0005-0000-0000-0000BE000000}"/>
    <cellStyle name="Dezimal 2 6 2" xfId="284" xr:uid="{00000000-0005-0000-0000-0000BF000000}"/>
    <cellStyle name="Dezimal 2 6 2 2" xfId="541" xr:uid="{00000000-0005-0000-0000-0000C0000000}"/>
    <cellStyle name="Dezimal 2 6 2 3" xfId="785" xr:uid="{00000000-0005-0000-0000-0000C1000000}"/>
    <cellStyle name="Dezimal 2 6 2 4" xfId="1028" xr:uid="{00000000-0005-0000-0000-0000C2000000}"/>
    <cellStyle name="Dezimal 2 6 3" xfId="420" xr:uid="{00000000-0005-0000-0000-0000C3000000}"/>
    <cellStyle name="Dezimal 2 6 4" xfId="664" xr:uid="{00000000-0005-0000-0000-0000C4000000}"/>
    <cellStyle name="Dezimal 2 6 5" xfId="907" xr:uid="{00000000-0005-0000-0000-0000C5000000}"/>
    <cellStyle name="Dezimal 2 7" xfId="244" xr:uid="{00000000-0005-0000-0000-0000C6000000}"/>
    <cellStyle name="Dezimal 2 7 2" xfId="501" xr:uid="{00000000-0005-0000-0000-0000C7000000}"/>
    <cellStyle name="Dezimal 2 7 3" xfId="745" xr:uid="{00000000-0005-0000-0000-0000C8000000}"/>
    <cellStyle name="Dezimal 2 7 4" xfId="988" xr:uid="{00000000-0005-0000-0000-0000C9000000}"/>
    <cellStyle name="Dezimal 2 8" xfId="373" xr:uid="{00000000-0005-0000-0000-0000CA000000}"/>
    <cellStyle name="Dezimal 2 9" xfId="623" xr:uid="{00000000-0005-0000-0000-0000CB000000}"/>
    <cellStyle name="Eingabe" xfId="69" xr:uid="{00000000-0005-0000-0000-0000CC000000}"/>
    <cellStyle name="Eingabe 10" xfId="70" xr:uid="{00000000-0005-0000-0000-0000CD000000}"/>
    <cellStyle name="Eingabe 11" xfId="378" xr:uid="{00000000-0005-0000-0000-0000CE000000}"/>
    <cellStyle name="Eingabe 2" xfId="71" xr:uid="{00000000-0005-0000-0000-0000CF000000}"/>
    <cellStyle name="Eingabe 2 2" xfId="379" xr:uid="{00000000-0005-0000-0000-0000D0000000}"/>
    <cellStyle name="Eingabe 2_2010-12-07 Kriterien Sanierung Verwaltung Schule Sozial" xfId="72" xr:uid="{00000000-0005-0000-0000-0000D1000000}"/>
    <cellStyle name="Eingabe 2_2010-12-07 Kriterien Sanierung Verwaltung Schule Sozial 2" xfId="368" xr:uid="{00000000-0005-0000-0000-0000D2000000}"/>
    <cellStyle name="Eingabe 3" xfId="73" xr:uid="{00000000-0005-0000-0000-0000D3000000}"/>
    <cellStyle name="Eingabe 3 2" xfId="622" xr:uid="{00000000-0005-0000-0000-0000D4000000}"/>
    <cellStyle name="Eingabe 4" xfId="74" xr:uid="{00000000-0005-0000-0000-0000D5000000}"/>
    <cellStyle name="Eingabe 5" xfId="75" xr:uid="{00000000-0005-0000-0000-0000D6000000}"/>
    <cellStyle name="Eingabe 6" xfId="76" xr:uid="{00000000-0005-0000-0000-0000D7000000}"/>
    <cellStyle name="Eingabe 7" xfId="77" xr:uid="{00000000-0005-0000-0000-0000D8000000}"/>
    <cellStyle name="Eingabe 8" xfId="78" xr:uid="{00000000-0005-0000-0000-0000D9000000}"/>
    <cellStyle name="Eingabe 9" xfId="79" xr:uid="{00000000-0005-0000-0000-0000DA000000}"/>
    <cellStyle name="Ergebnis" xfId="80" xr:uid="{00000000-0005-0000-0000-0000DB000000}"/>
    <cellStyle name="Ergebnis 2" xfId="81" xr:uid="{00000000-0005-0000-0000-0000DC000000}"/>
    <cellStyle name="Ergebnis 2 2" xfId="381" xr:uid="{00000000-0005-0000-0000-0000DD000000}"/>
    <cellStyle name="Ergebnis 3" xfId="380" xr:uid="{00000000-0005-0000-0000-0000DE000000}"/>
    <cellStyle name="Erklärender Text" xfId="82" xr:uid="{00000000-0005-0000-0000-0000DF000000}"/>
    <cellStyle name="Erklärender Text 2" xfId="83" xr:uid="{00000000-0005-0000-0000-0000E0000000}"/>
    <cellStyle name="Gut" xfId="84" xr:uid="{00000000-0005-0000-0000-0000E1000000}"/>
    <cellStyle name="Gut 2" xfId="85" xr:uid="{00000000-0005-0000-0000-0000E2000000}"/>
    <cellStyle name="Komma" xfId="87" builtinId="3"/>
    <cellStyle name="Komma 2" xfId="88" xr:uid="{00000000-0005-0000-0000-0000E4000000}"/>
    <cellStyle name="Komma 2 10" xfId="628" xr:uid="{00000000-0005-0000-0000-0000E5000000}"/>
    <cellStyle name="Komma 2 11" xfId="871" xr:uid="{00000000-0005-0000-0000-0000E6000000}"/>
    <cellStyle name="Komma 2 2" xfId="89" xr:uid="{00000000-0005-0000-0000-0000E7000000}"/>
    <cellStyle name="Komma 2 2 2" xfId="90" xr:uid="{00000000-0005-0000-0000-0000E8000000}"/>
    <cellStyle name="Komma 2 2 2 2" xfId="211" xr:uid="{00000000-0005-0000-0000-0000E9000000}"/>
    <cellStyle name="Komma 2 2 2 2 2" xfId="332" xr:uid="{00000000-0005-0000-0000-0000EA000000}"/>
    <cellStyle name="Komma 2 2 2 2 2 2" xfId="589" xr:uid="{00000000-0005-0000-0000-0000EB000000}"/>
    <cellStyle name="Komma 2 2 2 2 2 3" xfId="833" xr:uid="{00000000-0005-0000-0000-0000EC000000}"/>
    <cellStyle name="Komma 2 2 2 2 2 4" xfId="1076" xr:uid="{00000000-0005-0000-0000-0000ED000000}"/>
    <cellStyle name="Komma 2 2 2 2 3" xfId="468" xr:uid="{00000000-0005-0000-0000-0000EE000000}"/>
    <cellStyle name="Komma 2 2 2 2 4" xfId="712" xr:uid="{00000000-0005-0000-0000-0000EF000000}"/>
    <cellStyle name="Komma 2 2 2 2 5" xfId="955" xr:uid="{00000000-0005-0000-0000-0000F0000000}"/>
    <cellStyle name="Komma 2 2 2 3" xfId="170" xr:uid="{00000000-0005-0000-0000-0000F1000000}"/>
    <cellStyle name="Komma 2 2 2 3 2" xfId="291" xr:uid="{00000000-0005-0000-0000-0000F2000000}"/>
    <cellStyle name="Komma 2 2 2 3 2 2" xfId="548" xr:uid="{00000000-0005-0000-0000-0000F3000000}"/>
    <cellStyle name="Komma 2 2 2 3 2 3" xfId="792" xr:uid="{00000000-0005-0000-0000-0000F4000000}"/>
    <cellStyle name="Komma 2 2 2 3 2 4" xfId="1035" xr:uid="{00000000-0005-0000-0000-0000F5000000}"/>
    <cellStyle name="Komma 2 2 2 3 3" xfId="427" xr:uid="{00000000-0005-0000-0000-0000F6000000}"/>
    <cellStyle name="Komma 2 2 2 3 4" xfId="671" xr:uid="{00000000-0005-0000-0000-0000F7000000}"/>
    <cellStyle name="Komma 2 2 2 3 5" xfId="914" xr:uid="{00000000-0005-0000-0000-0000F8000000}"/>
    <cellStyle name="Komma 2 2 2 4" xfId="251" xr:uid="{00000000-0005-0000-0000-0000F9000000}"/>
    <cellStyle name="Komma 2 2 2 4 2" xfId="508" xr:uid="{00000000-0005-0000-0000-0000FA000000}"/>
    <cellStyle name="Komma 2 2 2 4 3" xfId="752" xr:uid="{00000000-0005-0000-0000-0000FB000000}"/>
    <cellStyle name="Komma 2 2 2 4 4" xfId="995" xr:uid="{00000000-0005-0000-0000-0000FC000000}"/>
    <cellStyle name="Komma 2 2 2 5" xfId="384" xr:uid="{00000000-0005-0000-0000-0000FD000000}"/>
    <cellStyle name="Komma 2 2 2 6" xfId="630" xr:uid="{00000000-0005-0000-0000-0000FE000000}"/>
    <cellStyle name="Komma 2 2 2 7" xfId="873" xr:uid="{00000000-0005-0000-0000-0000FF000000}"/>
    <cellStyle name="Komma 2 2 3" xfId="210" xr:uid="{00000000-0005-0000-0000-000000010000}"/>
    <cellStyle name="Komma 2 2 3 2" xfId="331" xr:uid="{00000000-0005-0000-0000-000001010000}"/>
    <cellStyle name="Komma 2 2 3 2 2" xfId="588" xr:uid="{00000000-0005-0000-0000-000002010000}"/>
    <cellStyle name="Komma 2 2 3 2 3" xfId="832" xr:uid="{00000000-0005-0000-0000-000003010000}"/>
    <cellStyle name="Komma 2 2 3 2 4" xfId="1075" xr:uid="{00000000-0005-0000-0000-000004010000}"/>
    <cellStyle name="Komma 2 2 3 3" xfId="467" xr:uid="{00000000-0005-0000-0000-000005010000}"/>
    <cellStyle name="Komma 2 2 3 4" xfId="711" xr:uid="{00000000-0005-0000-0000-000006010000}"/>
    <cellStyle name="Komma 2 2 3 5" xfId="954" xr:uid="{00000000-0005-0000-0000-000007010000}"/>
    <cellStyle name="Komma 2 2 4" xfId="169" xr:uid="{00000000-0005-0000-0000-000008010000}"/>
    <cellStyle name="Komma 2 2 4 2" xfId="290" xr:uid="{00000000-0005-0000-0000-000009010000}"/>
    <cellStyle name="Komma 2 2 4 2 2" xfId="547" xr:uid="{00000000-0005-0000-0000-00000A010000}"/>
    <cellStyle name="Komma 2 2 4 2 3" xfId="791" xr:uid="{00000000-0005-0000-0000-00000B010000}"/>
    <cellStyle name="Komma 2 2 4 2 4" xfId="1034" xr:uid="{00000000-0005-0000-0000-00000C010000}"/>
    <cellStyle name="Komma 2 2 4 3" xfId="426" xr:uid="{00000000-0005-0000-0000-00000D010000}"/>
    <cellStyle name="Komma 2 2 4 4" xfId="670" xr:uid="{00000000-0005-0000-0000-00000E010000}"/>
    <cellStyle name="Komma 2 2 4 5" xfId="913" xr:uid="{00000000-0005-0000-0000-00000F010000}"/>
    <cellStyle name="Komma 2 2 5" xfId="250" xr:uid="{00000000-0005-0000-0000-000010010000}"/>
    <cellStyle name="Komma 2 2 5 2" xfId="507" xr:uid="{00000000-0005-0000-0000-000011010000}"/>
    <cellStyle name="Komma 2 2 5 3" xfId="751" xr:uid="{00000000-0005-0000-0000-000012010000}"/>
    <cellStyle name="Komma 2 2 5 4" xfId="994" xr:uid="{00000000-0005-0000-0000-000013010000}"/>
    <cellStyle name="Komma 2 2 6" xfId="383" xr:uid="{00000000-0005-0000-0000-000014010000}"/>
    <cellStyle name="Komma 2 2 7" xfId="629" xr:uid="{00000000-0005-0000-0000-000015010000}"/>
    <cellStyle name="Komma 2 2 8" xfId="872" xr:uid="{00000000-0005-0000-0000-000016010000}"/>
    <cellStyle name="Komma 2 3" xfId="91" xr:uid="{00000000-0005-0000-0000-000017010000}"/>
    <cellStyle name="Komma 2 3 2" xfId="92" xr:uid="{00000000-0005-0000-0000-000018010000}"/>
    <cellStyle name="Komma 2 3 2 2" xfId="213" xr:uid="{00000000-0005-0000-0000-000019010000}"/>
    <cellStyle name="Komma 2 3 2 2 2" xfId="334" xr:uid="{00000000-0005-0000-0000-00001A010000}"/>
    <cellStyle name="Komma 2 3 2 2 2 2" xfId="591" xr:uid="{00000000-0005-0000-0000-00001B010000}"/>
    <cellStyle name="Komma 2 3 2 2 2 3" xfId="835" xr:uid="{00000000-0005-0000-0000-00001C010000}"/>
    <cellStyle name="Komma 2 3 2 2 2 4" xfId="1078" xr:uid="{00000000-0005-0000-0000-00001D010000}"/>
    <cellStyle name="Komma 2 3 2 2 3" xfId="470" xr:uid="{00000000-0005-0000-0000-00001E010000}"/>
    <cellStyle name="Komma 2 3 2 2 4" xfId="714" xr:uid="{00000000-0005-0000-0000-00001F010000}"/>
    <cellStyle name="Komma 2 3 2 2 5" xfId="957" xr:uid="{00000000-0005-0000-0000-000020010000}"/>
    <cellStyle name="Komma 2 3 2 3" xfId="172" xr:uid="{00000000-0005-0000-0000-000021010000}"/>
    <cellStyle name="Komma 2 3 2 3 2" xfId="293" xr:uid="{00000000-0005-0000-0000-000022010000}"/>
    <cellStyle name="Komma 2 3 2 3 2 2" xfId="550" xr:uid="{00000000-0005-0000-0000-000023010000}"/>
    <cellStyle name="Komma 2 3 2 3 2 3" xfId="794" xr:uid="{00000000-0005-0000-0000-000024010000}"/>
    <cellStyle name="Komma 2 3 2 3 2 4" xfId="1037" xr:uid="{00000000-0005-0000-0000-000025010000}"/>
    <cellStyle name="Komma 2 3 2 3 3" xfId="429" xr:uid="{00000000-0005-0000-0000-000026010000}"/>
    <cellStyle name="Komma 2 3 2 3 4" xfId="673" xr:uid="{00000000-0005-0000-0000-000027010000}"/>
    <cellStyle name="Komma 2 3 2 3 5" xfId="916" xr:uid="{00000000-0005-0000-0000-000028010000}"/>
    <cellStyle name="Komma 2 3 2 4" xfId="253" xr:uid="{00000000-0005-0000-0000-000029010000}"/>
    <cellStyle name="Komma 2 3 2 4 2" xfId="510" xr:uid="{00000000-0005-0000-0000-00002A010000}"/>
    <cellStyle name="Komma 2 3 2 4 3" xfId="754" xr:uid="{00000000-0005-0000-0000-00002B010000}"/>
    <cellStyle name="Komma 2 3 2 4 4" xfId="997" xr:uid="{00000000-0005-0000-0000-00002C010000}"/>
    <cellStyle name="Komma 2 3 2 5" xfId="386" xr:uid="{00000000-0005-0000-0000-00002D010000}"/>
    <cellStyle name="Komma 2 3 2 6" xfId="632" xr:uid="{00000000-0005-0000-0000-00002E010000}"/>
    <cellStyle name="Komma 2 3 2 7" xfId="875" xr:uid="{00000000-0005-0000-0000-00002F010000}"/>
    <cellStyle name="Komma 2 3 3" xfId="212" xr:uid="{00000000-0005-0000-0000-000030010000}"/>
    <cellStyle name="Komma 2 3 3 2" xfId="333" xr:uid="{00000000-0005-0000-0000-000031010000}"/>
    <cellStyle name="Komma 2 3 3 2 2" xfId="590" xr:uid="{00000000-0005-0000-0000-000032010000}"/>
    <cellStyle name="Komma 2 3 3 2 3" xfId="834" xr:uid="{00000000-0005-0000-0000-000033010000}"/>
    <cellStyle name="Komma 2 3 3 2 4" xfId="1077" xr:uid="{00000000-0005-0000-0000-000034010000}"/>
    <cellStyle name="Komma 2 3 3 3" xfId="469" xr:uid="{00000000-0005-0000-0000-000035010000}"/>
    <cellStyle name="Komma 2 3 3 4" xfId="713" xr:uid="{00000000-0005-0000-0000-000036010000}"/>
    <cellStyle name="Komma 2 3 3 5" xfId="956" xr:uid="{00000000-0005-0000-0000-000037010000}"/>
    <cellStyle name="Komma 2 3 4" xfId="171" xr:uid="{00000000-0005-0000-0000-000038010000}"/>
    <cellStyle name="Komma 2 3 4 2" xfId="292" xr:uid="{00000000-0005-0000-0000-000039010000}"/>
    <cellStyle name="Komma 2 3 4 2 2" xfId="549" xr:uid="{00000000-0005-0000-0000-00003A010000}"/>
    <cellStyle name="Komma 2 3 4 2 3" xfId="793" xr:uid="{00000000-0005-0000-0000-00003B010000}"/>
    <cellStyle name="Komma 2 3 4 2 4" xfId="1036" xr:uid="{00000000-0005-0000-0000-00003C010000}"/>
    <cellStyle name="Komma 2 3 4 3" xfId="428" xr:uid="{00000000-0005-0000-0000-00003D010000}"/>
    <cellStyle name="Komma 2 3 4 4" xfId="672" xr:uid="{00000000-0005-0000-0000-00003E010000}"/>
    <cellStyle name="Komma 2 3 4 5" xfId="915" xr:uid="{00000000-0005-0000-0000-00003F010000}"/>
    <cellStyle name="Komma 2 3 5" xfId="252" xr:uid="{00000000-0005-0000-0000-000040010000}"/>
    <cellStyle name="Komma 2 3 5 2" xfId="509" xr:uid="{00000000-0005-0000-0000-000041010000}"/>
    <cellStyle name="Komma 2 3 5 3" xfId="753" xr:uid="{00000000-0005-0000-0000-000042010000}"/>
    <cellStyle name="Komma 2 3 5 4" xfId="996" xr:uid="{00000000-0005-0000-0000-000043010000}"/>
    <cellStyle name="Komma 2 3 6" xfId="385" xr:uid="{00000000-0005-0000-0000-000044010000}"/>
    <cellStyle name="Komma 2 3 7" xfId="631" xr:uid="{00000000-0005-0000-0000-000045010000}"/>
    <cellStyle name="Komma 2 3 8" xfId="874" xr:uid="{00000000-0005-0000-0000-000046010000}"/>
    <cellStyle name="Komma 2 4" xfId="93" xr:uid="{00000000-0005-0000-0000-000047010000}"/>
    <cellStyle name="Komma 2 4 2" xfId="214" xr:uid="{00000000-0005-0000-0000-000048010000}"/>
    <cellStyle name="Komma 2 4 2 2" xfId="335" xr:uid="{00000000-0005-0000-0000-000049010000}"/>
    <cellStyle name="Komma 2 4 2 2 2" xfId="592" xr:uid="{00000000-0005-0000-0000-00004A010000}"/>
    <cellStyle name="Komma 2 4 2 2 3" xfId="836" xr:uid="{00000000-0005-0000-0000-00004B010000}"/>
    <cellStyle name="Komma 2 4 2 2 4" xfId="1079" xr:uid="{00000000-0005-0000-0000-00004C010000}"/>
    <cellStyle name="Komma 2 4 2 3" xfId="471" xr:uid="{00000000-0005-0000-0000-00004D010000}"/>
    <cellStyle name="Komma 2 4 2 4" xfId="715" xr:uid="{00000000-0005-0000-0000-00004E010000}"/>
    <cellStyle name="Komma 2 4 2 5" xfId="958" xr:uid="{00000000-0005-0000-0000-00004F010000}"/>
    <cellStyle name="Komma 2 4 3" xfId="173" xr:uid="{00000000-0005-0000-0000-000050010000}"/>
    <cellStyle name="Komma 2 4 3 2" xfId="294" xr:uid="{00000000-0005-0000-0000-000051010000}"/>
    <cellStyle name="Komma 2 4 3 2 2" xfId="551" xr:uid="{00000000-0005-0000-0000-000052010000}"/>
    <cellStyle name="Komma 2 4 3 2 3" xfId="795" xr:uid="{00000000-0005-0000-0000-000053010000}"/>
    <cellStyle name="Komma 2 4 3 2 4" xfId="1038" xr:uid="{00000000-0005-0000-0000-000054010000}"/>
    <cellStyle name="Komma 2 4 3 3" xfId="430" xr:uid="{00000000-0005-0000-0000-000055010000}"/>
    <cellStyle name="Komma 2 4 3 4" xfId="674" xr:uid="{00000000-0005-0000-0000-000056010000}"/>
    <cellStyle name="Komma 2 4 3 5" xfId="917" xr:uid="{00000000-0005-0000-0000-000057010000}"/>
    <cellStyle name="Komma 2 4 4" xfId="254" xr:uid="{00000000-0005-0000-0000-000058010000}"/>
    <cellStyle name="Komma 2 4 4 2" xfId="511" xr:uid="{00000000-0005-0000-0000-000059010000}"/>
    <cellStyle name="Komma 2 4 4 3" xfId="755" xr:uid="{00000000-0005-0000-0000-00005A010000}"/>
    <cellStyle name="Komma 2 4 4 4" xfId="998" xr:uid="{00000000-0005-0000-0000-00005B010000}"/>
    <cellStyle name="Komma 2 4 5" xfId="387" xr:uid="{00000000-0005-0000-0000-00005C010000}"/>
    <cellStyle name="Komma 2 4 6" xfId="633" xr:uid="{00000000-0005-0000-0000-00005D010000}"/>
    <cellStyle name="Komma 2 4 7" xfId="876" xr:uid="{00000000-0005-0000-0000-00005E010000}"/>
    <cellStyle name="Komma 2 5" xfId="94" xr:uid="{00000000-0005-0000-0000-00005F010000}"/>
    <cellStyle name="Komma 2 5 2" xfId="215" xr:uid="{00000000-0005-0000-0000-000060010000}"/>
    <cellStyle name="Komma 2 5 2 2" xfId="336" xr:uid="{00000000-0005-0000-0000-000061010000}"/>
    <cellStyle name="Komma 2 5 2 2 2" xfId="593" xr:uid="{00000000-0005-0000-0000-000062010000}"/>
    <cellStyle name="Komma 2 5 2 2 3" xfId="837" xr:uid="{00000000-0005-0000-0000-000063010000}"/>
    <cellStyle name="Komma 2 5 2 2 4" xfId="1080" xr:uid="{00000000-0005-0000-0000-000064010000}"/>
    <cellStyle name="Komma 2 5 2 3" xfId="472" xr:uid="{00000000-0005-0000-0000-000065010000}"/>
    <cellStyle name="Komma 2 5 2 4" xfId="716" xr:uid="{00000000-0005-0000-0000-000066010000}"/>
    <cellStyle name="Komma 2 5 2 5" xfId="959" xr:uid="{00000000-0005-0000-0000-000067010000}"/>
    <cellStyle name="Komma 2 5 3" xfId="174" xr:uid="{00000000-0005-0000-0000-000068010000}"/>
    <cellStyle name="Komma 2 5 3 2" xfId="295" xr:uid="{00000000-0005-0000-0000-000069010000}"/>
    <cellStyle name="Komma 2 5 3 2 2" xfId="552" xr:uid="{00000000-0005-0000-0000-00006A010000}"/>
    <cellStyle name="Komma 2 5 3 2 3" xfId="796" xr:uid="{00000000-0005-0000-0000-00006B010000}"/>
    <cellStyle name="Komma 2 5 3 2 4" xfId="1039" xr:uid="{00000000-0005-0000-0000-00006C010000}"/>
    <cellStyle name="Komma 2 5 3 3" xfId="431" xr:uid="{00000000-0005-0000-0000-00006D010000}"/>
    <cellStyle name="Komma 2 5 3 4" xfId="675" xr:uid="{00000000-0005-0000-0000-00006E010000}"/>
    <cellStyle name="Komma 2 5 3 5" xfId="918" xr:uid="{00000000-0005-0000-0000-00006F010000}"/>
    <cellStyle name="Komma 2 5 4" xfId="255" xr:uid="{00000000-0005-0000-0000-000070010000}"/>
    <cellStyle name="Komma 2 5 4 2" xfId="512" xr:uid="{00000000-0005-0000-0000-000071010000}"/>
    <cellStyle name="Komma 2 5 4 3" xfId="756" xr:uid="{00000000-0005-0000-0000-000072010000}"/>
    <cellStyle name="Komma 2 5 4 4" xfId="999" xr:uid="{00000000-0005-0000-0000-000073010000}"/>
    <cellStyle name="Komma 2 5 5" xfId="388" xr:uid="{00000000-0005-0000-0000-000074010000}"/>
    <cellStyle name="Komma 2 5 6" xfId="634" xr:uid="{00000000-0005-0000-0000-000075010000}"/>
    <cellStyle name="Komma 2 5 7" xfId="877" xr:uid="{00000000-0005-0000-0000-000076010000}"/>
    <cellStyle name="Komma 2 6" xfId="209" xr:uid="{00000000-0005-0000-0000-000077010000}"/>
    <cellStyle name="Komma 2 6 2" xfId="330" xr:uid="{00000000-0005-0000-0000-000078010000}"/>
    <cellStyle name="Komma 2 6 2 2" xfId="587" xr:uid="{00000000-0005-0000-0000-000079010000}"/>
    <cellStyle name="Komma 2 6 2 3" xfId="831" xr:uid="{00000000-0005-0000-0000-00007A010000}"/>
    <cellStyle name="Komma 2 6 2 4" xfId="1074" xr:uid="{00000000-0005-0000-0000-00007B010000}"/>
    <cellStyle name="Komma 2 6 3" xfId="466" xr:uid="{00000000-0005-0000-0000-00007C010000}"/>
    <cellStyle name="Komma 2 6 4" xfId="710" xr:uid="{00000000-0005-0000-0000-00007D010000}"/>
    <cellStyle name="Komma 2 6 5" xfId="953" xr:uid="{00000000-0005-0000-0000-00007E010000}"/>
    <cellStyle name="Komma 2 7" xfId="168" xr:uid="{00000000-0005-0000-0000-00007F010000}"/>
    <cellStyle name="Komma 2 7 2" xfId="289" xr:uid="{00000000-0005-0000-0000-000080010000}"/>
    <cellStyle name="Komma 2 7 2 2" xfId="546" xr:uid="{00000000-0005-0000-0000-000081010000}"/>
    <cellStyle name="Komma 2 7 2 3" xfId="790" xr:uid="{00000000-0005-0000-0000-000082010000}"/>
    <cellStyle name="Komma 2 7 2 4" xfId="1033" xr:uid="{00000000-0005-0000-0000-000083010000}"/>
    <cellStyle name="Komma 2 7 3" xfId="425" xr:uid="{00000000-0005-0000-0000-000084010000}"/>
    <cellStyle name="Komma 2 7 4" xfId="669" xr:uid="{00000000-0005-0000-0000-000085010000}"/>
    <cellStyle name="Komma 2 7 5" xfId="912" xr:uid="{00000000-0005-0000-0000-000086010000}"/>
    <cellStyle name="Komma 2 8" xfId="249" xr:uid="{00000000-0005-0000-0000-000087010000}"/>
    <cellStyle name="Komma 2 8 2" xfId="506" xr:uid="{00000000-0005-0000-0000-000088010000}"/>
    <cellStyle name="Komma 2 8 3" xfId="750" xr:uid="{00000000-0005-0000-0000-000089010000}"/>
    <cellStyle name="Komma 2 8 4" xfId="993" xr:uid="{00000000-0005-0000-0000-00008A010000}"/>
    <cellStyle name="Komma 2 9" xfId="382" xr:uid="{00000000-0005-0000-0000-00008B010000}"/>
    <cellStyle name="Komma 3" xfId="95" xr:uid="{00000000-0005-0000-0000-00008C010000}"/>
    <cellStyle name="Komma 3 2" xfId="389" xr:uid="{00000000-0005-0000-0000-00008D010000}"/>
    <cellStyle name="Komma 3 3" xfId="635" xr:uid="{00000000-0005-0000-0000-00008E010000}"/>
    <cellStyle name="Komma 3 4" xfId="878" xr:uid="{00000000-0005-0000-0000-00008F010000}"/>
    <cellStyle name="Link" xfId="86" builtinId="8"/>
    <cellStyle name="Notiz" xfId="96" xr:uid="{00000000-0005-0000-0000-000091010000}"/>
    <cellStyle name="Notiz 2" xfId="97" xr:uid="{00000000-0005-0000-0000-000092010000}"/>
    <cellStyle name="Notiz 2 2" xfId="391" xr:uid="{00000000-0005-0000-0000-000093010000}"/>
    <cellStyle name="Notiz 3" xfId="390" xr:uid="{00000000-0005-0000-0000-000094010000}"/>
    <cellStyle name="Prozent 2" xfId="98" xr:uid="{00000000-0005-0000-0000-000095010000}"/>
    <cellStyle name="Prozent 2 10" xfId="636" xr:uid="{00000000-0005-0000-0000-000096010000}"/>
    <cellStyle name="Prozent 2 11" xfId="879" xr:uid="{00000000-0005-0000-0000-000097010000}"/>
    <cellStyle name="Prozent 2 2" xfId="99" xr:uid="{00000000-0005-0000-0000-000098010000}"/>
    <cellStyle name="Prozent 2 2 2" xfId="100" xr:uid="{00000000-0005-0000-0000-000099010000}"/>
    <cellStyle name="Prozent 2 2 2 2" xfId="218" xr:uid="{00000000-0005-0000-0000-00009A010000}"/>
    <cellStyle name="Prozent 2 2 2 2 2" xfId="339" xr:uid="{00000000-0005-0000-0000-00009B010000}"/>
    <cellStyle name="Prozent 2 2 2 2 2 2" xfId="596" xr:uid="{00000000-0005-0000-0000-00009C010000}"/>
    <cellStyle name="Prozent 2 2 2 2 2 3" xfId="840" xr:uid="{00000000-0005-0000-0000-00009D010000}"/>
    <cellStyle name="Prozent 2 2 2 2 2 4" xfId="1083" xr:uid="{00000000-0005-0000-0000-00009E010000}"/>
    <cellStyle name="Prozent 2 2 2 2 3" xfId="475" xr:uid="{00000000-0005-0000-0000-00009F010000}"/>
    <cellStyle name="Prozent 2 2 2 2 4" xfId="719" xr:uid="{00000000-0005-0000-0000-0000A0010000}"/>
    <cellStyle name="Prozent 2 2 2 2 5" xfId="962" xr:uid="{00000000-0005-0000-0000-0000A1010000}"/>
    <cellStyle name="Prozent 2 2 2 3" xfId="177" xr:uid="{00000000-0005-0000-0000-0000A2010000}"/>
    <cellStyle name="Prozent 2 2 2 3 2" xfId="298" xr:uid="{00000000-0005-0000-0000-0000A3010000}"/>
    <cellStyle name="Prozent 2 2 2 3 2 2" xfId="555" xr:uid="{00000000-0005-0000-0000-0000A4010000}"/>
    <cellStyle name="Prozent 2 2 2 3 2 3" xfId="799" xr:uid="{00000000-0005-0000-0000-0000A5010000}"/>
    <cellStyle name="Prozent 2 2 2 3 2 4" xfId="1042" xr:uid="{00000000-0005-0000-0000-0000A6010000}"/>
    <cellStyle name="Prozent 2 2 2 3 3" xfId="434" xr:uid="{00000000-0005-0000-0000-0000A7010000}"/>
    <cellStyle name="Prozent 2 2 2 3 4" xfId="678" xr:uid="{00000000-0005-0000-0000-0000A8010000}"/>
    <cellStyle name="Prozent 2 2 2 3 5" xfId="921" xr:uid="{00000000-0005-0000-0000-0000A9010000}"/>
    <cellStyle name="Prozent 2 2 2 4" xfId="258" xr:uid="{00000000-0005-0000-0000-0000AA010000}"/>
    <cellStyle name="Prozent 2 2 2 4 2" xfId="515" xr:uid="{00000000-0005-0000-0000-0000AB010000}"/>
    <cellStyle name="Prozent 2 2 2 4 3" xfId="759" xr:uid="{00000000-0005-0000-0000-0000AC010000}"/>
    <cellStyle name="Prozent 2 2 2 4 4" xfId="1002" xr:uid="{00000000-0005-0000-0000-0000AD010000}"/>
    <cellStyle name="Prozent 2 2 2 5" xfId="394" xr:uid="{00000000-0005-0000-0000-0000AE010000}"/>
    <cellStyle name="Prozent 2 2 2 6" xfId="638" xr:uid="{00000000-0005-0000-0000-0000AF010000}"/>
    <cellStyle name="Prozent 2 2 2 7" xfId="881" xr:uid="{00000000-0005-0000-0000-0000B0010000}"/>
    <cellStyle name="Prozent 2 2 3" xfId="217" xr:uid="{00000000-0005-0000-0000-0000B1010000}"/>
    <cellStyle name="Prozent 2 2 3 2" xfId="338" xr:uid="{00000000-0005-0000-0000-0000B2010000}"/>
    <cellStyle name="Prozent 2 2 3 2 2" xfId="595" xr:uid="{00000000-0005-0000-0000-0000B3010000}"/>
    <cellStyle name="Prozent 2 2 3 2 3" xfId="839" xr:uid="{00000000-0005-0000-0000-0000B4010000}"/>
    <cellStyle name="Prozent 2 2 3 2 4" xfId="1082" xr:uid="{00000000-0005-0000-0000-0000B5010000}"/>
    <cellStyle name="Prozent 2 2 3 3" xfId="474" xr:uid="{00000000-0005-0000-0000-0000B6010000}"/>
    <cellStyle name="Prozent 2 2 3 4" xfId="718" xr:uid="{00000000-0005-0000-0000-0000B7010000}"/>
    <cellStyle name="Prozent 2 2 3 5" xfId="961" xr:uid="{00000000-0005-0000-0000-0000B8010000}"/>
    <cellStyle name="Prozent 2 2 4" xfId="176" xr:uid="{00000000-0005-0000-0000-0000B9010000}"/>
    <cellStyle name="Prozent 2 2 4 2" xfId="297" xr:uid="{00000000-0005-0000-0000-0000BA010000}"/>
    <cellStyle name="Prozent 2 2 4 2 2" xfId="554" xr:uid="{00000000-0005-0000-0000-0000BB010000}"/>
    <cellStyle name="Prozent 2 2 4 2 3" xfId="798" xr:uid="{00000000-0005-0000-0000-0000BC010000}"/>
    <cellStyle name="Prozent 2 2 4 2 4" xfId="1041" xr:uid="{00000000-0005-0000-0000-0000BD010000}"/>
    <cellStyle name="Prozent 2 2 4 3" xfId="433" xr:uid="{00000000-0005-0000-0000-0000BE010000}"/>
    <cellStyle name="Prozent 2 2 4 4" xfId="677" xr:uid="{00000000-0005-0000-0000-0000BF010000}"/>
    <cellStyle name="Prozent 2 2 4 5" xfId="920" xr:uid="{00000000-0005-0000-0000-0000C0010000}"/>
    <cellStyle name="Prozent 2 2 5" xfId="257" xr:uid="{00000000-0005-0000-0000-0000C1010000}"/>
    <cellStyle name="Prozent 2 2 5 2" xfId="514" xr:uid="{00000000-0005-0000-0000-0000C2010000}"/>
    <cellStyle name="Prozent 2 2 5 3" xfId="758" xr:uid="{00000000-0005-0000-0000-0000C3010000}"/>
    <cellStyle name="Prozent 2 2 5 4" xfId="1001" xr:uid="{00000000-0005-0000-0000-0000C4010000}"/>
    <cellStyle name="Prozent 2 2 6" xfId="393" xr:uid="{00000000-0005-0000-0000-0000C5010000}"/>
    <cellStyle name="Prozent 2 2 7" xfId="637" xr:uid="{00000000-0005-0000-0000-0000C6010000}"/>
    <cellStyle name="Prozent 2 2 8" xfId="880" xr:uid="{00000000-0005-0000-0000-0000C7010000}"/>
    <cellStyle name="Prozent 2 3" xfId="101" xr:uid="{00000000-0005-0000-0000-0000C8010000}"/>
    <cellStyle name="Prozent 2 3 2" xfId="102" xr:uid="{00000000-0005-0000-0000-0000C9010000}"/>
    <cellStyle name="Prozent 2 3 2 2" xfId="220" xr:uid="{00000000-0005-0000-0000-0000CA010000}"/>
    <cellStyle name="Prozent 2 3 2 2 2" xfId="341" xr:uid="{00000000-0005-0000-0000-0000CB010000}"/>
    <cellStyle name="Prozent 2 3 2 2 2 2" xfId="598" xr:uid="{00000000-0005-0000-0000-0000CC010000}"/>
    <cellStyle name="Prozent 2 3 2 2 2 3" xfId="842" xr:uid="{00000000-0005-0000-0000-0000CD010000}"/>
    <cellStyle name="Prozent 2 3 2 2 2 4" xfId="1085" xr:uid="{00000000-0005-0000-0000-0000CE010000}"/>
    <cellStyle name="Prozent 2 3 2 2 3" xfId="477" xr:uid="{00000000-0005-0000-0000-0000CF010000}"/>
    <cellStyle name="Prozent 2 3 2 2 4" xfId="721" xr:uid="{00000000-0005-0000-0000-0000D0010000}"/>
    <cellStyle name="Prozent 2 3 2 2 5" xfId="964" xr:uid="{00000000-0005-0000-0000-0000D1010000}"/>
    <cellStyle name="Prozent 2 3 2 3" xfId="179" xr:uid="{00000000-0005-0000-0000-0000D2010000}"/>
    <cellStyle name="Prozent 2 3 2 3 2" xfId="300" xr:uid="{00000000-0005-0000-0000-0000D3010000}"/>
    <cellStyle name="Prozent 2 3 2 3 2 2" xfId="557" xr:uid="{00000000-0005-0000-0000-0000D4010000}"/>
    <cellStyle name="Prozent 2 3 2 3 2 3" xfId="801" xr:uid="{00000000-0005-0000-0000-0000D5010000}"/>
    <cellStyle name="Prozent 2 3 2 3 2 4" xfId="1044" xr:uid="{00000000-0005-0000-0000-0000D6010000}"/>
    <cellStyle name="Prozent 2 3 2 3 3" xfId="436" xr:uid="{00000000-0005-0000-0000-0000D7010000}"/>
    <cellStyle name="Prozent 2 3 2 3 4" xfId="680" xr:uid="{00000000-0005-0000-0000-0000D8010000}"/>
    <cellStyle name="Prozent 2 3 2 3 5" xfId="923" xr:uid="{00000000-0005-0000-0000-0000D9010000}"/>
    <cellStyle name="Prozent 2 3 2 4" xfId="260" xr:uid="{00000000-0005-0000-0000-0000DA010000}"/>
    <cellStyle name="Prozent 2 3 2 4 2" xfId="517" xr:uid="{00000000-0005-0000-0000-0000DB010000}"/>
    <cellStyle name="Prozent 2 3 2 4 3" xfId="761" xr:uid="{00000000-0005-0000-0000-0000DC010000}"/>
    <cellStyle name="Prozent 2 3 2 4 4" xfId="1004" xr:uid="{00000000-0005-0000-0000-0000DD010000}"/>
    <cellStyle name="Prozent 2 3 2 5" xfId="396" xr:uid="{00000000-0005-0000-0000-0000DE010000}"/>
    <cellStyle name="Prozent 2 3 2 6" xfId="640" xr:uid="{00000000-0005-0000-0000-0000DF010000}"/>
    <cellStyle name="Prozent 2 3 2 7" xfId="883" xr:uid="{00000000-0005-0000-0000-0000E0010000}"/>
    <cellStyle name="Prozent 2 3 3" xfId="219" xr:uid="{00000000-0005-0000-0000-0000E1010000}"/>
    <cellStyle name="Prozent 2 3 3 2" xfId="340" xr:uid="{00000000-0005-0000-0000-0000E2010000}"/>
    <cellStyle name="Prozent 2 3 3 2 2" xfId="597" xr:uid="{00000000-0005-0000-0000-0000E3010000}"/>
    <cellStyle name="Prozent 2 3 3 2 3" xfId="841" xr:uid="{00000000-0005-0000-0000-0000E4010000}"/>
    <cellStyle name="Prozent 2 3 3 2 4" xfId="1084" xr:uid="{00000000-0005-0000-0000-0000E5010000}"/>
    <cellStyle name="Prozent 2 3 3 3" xfId="476" xr:uid="{00000000-0005-0000-0000-0000E6010000}"/>
    <cellStyle name="Prozent 2 3 3 4" xfId="720" xr:uid="{00000000-0005-0000-0000-0000E7010000}"/>
    <cellStyle name="Prozent 2 3 3 5" xfId="963" xr:uid="{00000000-0005-0000-0000-0000E8010000}"/>
    <cellStyle name="Prozent 2 3 4" xfId="178" xr:uid="{00000000-0005-0000-0000-0000E9010000}"/>
    <cellStyle name="Prozent 2 3 4 2" xfId="299" xr:uid="{00000000-0005-0000-0000-0000EA010000}"/>
    <cellStyle name="Prozent 2 3 4 2 2" xfId="556" xr:uid="{00000000-0005-0000-0000-0000EB010000}"/>
    <cellStyle name="Prozent 2 3 4 2 3" xfId="800" xr:uid="{00000000-0005-0000-0000-0000EC010000}"/>
    <cellStyle name="Prozent 2 3 4 2 4" xfId="1043" xr:uid="{00000000-0005-0000-0000-0000ED010000}"/>
    <cellStyle name="Prozent 2 3 4 3" xfId="435" xr:uid="{00000000-0005-0000-0000-0000EE010000}"/>
    <cellStyle name="Prozent 2 3 4 4" xfId="679" xr:uid="{00000000-0005-0000-0000-0000EF010000}"/>
    <cellStyle name="Prozent 2 3 4 5" xfId="922" xr:uid="{00000000-0005-0000-0000-0000F0010000}"/>
    <cellStyle name="Prozent 2 3 5" xfId="259" xr:uid="{00000000-0005-0000-0000-0000F1010000}"/>
    <cellStyle name="Prozent 2 3 5 2" xfId="516" xr:uid="{00000000-0005-0000-0000-0000F2010000}"/>
    <cellStyle name="Prozent 2 3 5 3" xfId="760" xr:uid="{00000000-0005-0000-0000-0000F3010000}"/>
    <cellStyle name="Prozent 2 3 5 4" xfId="1003" xr:uid="{00000000-0005-0000-0000-0000F4010000}"/>
    <cellStyle name="Prozent 2 3 6" xfId="395" xr:uid="{00000000-0005-0000-0000-0000F5010000}"/>
    <cellStyle name="Prozent 2 3 7" xfId="639" xr:uid="{00000000-0005-0000-0000-0000F6010000}"/>
    <cellStyle name="Prozent 2 3 8" xfId="882" xr:uid="{00000000-0005-0000-0000-0000F7010000}"/>
    <cellStyle name="Prozent 2 4" xfId="103" xr:uid="{00000000-0005-0000-0000-0000F8010000}"/>
    <cellStyle name="Prozent 2 4 2" xfId="221" xr:uid="{00000000-0005-0000-0000-0000F9010000}"/>
    <cellStyle name="Prozent 2 4 2 2" xfId="342" xr:uid="{00000000-0005-0000-0000-0000FA010000}"/>
    <cellStyle name="Prozent 2 4 2 2 2" xfId="599" xr:uid="{00000000-0005-0000-0000-0000FB010000}"/>
    <cellStyle name="Prozent 2 4 2 2 3" xfId="843" xr:uid="{00000000-0005-0000-0000-0000FC010000}"/>
    <cellStyle name="Prozent 2 4 2 2 4" xfId="1086" xr:uid="{00000000-0005-0000-0000-0000FD010000}"/>
    <cellStyle name="Prozent 2 4 2 3" xfId="478" xr:uid="{00000000-0005-0000-0000-0000FE010000}"/>
    <cellStyle name="Prozent 2 4 2 4" xfId="722" xr:uid="{00000000-0005-0000-0000-0000FF010000}"/>
    <cellStyle name="Prozent 2 4 2 5" xfId="965" xr:uid="{00000000-0005-0000-0000-000000020000}"/>
    <cellStyle name="Prozent 2 4 3" xfId="180" xr:uid="{00000000-0005-0000-0000-000001020000}"/>
    <cellStyle name="Prozent 2 4 3 2" xfId="301" xr:uid="{00000000-0005-0000-0000-000002020000}"/>
    <cellStyle name="Prozent 2 4 3 2 2" xfId="558" xr:uid="{00000000-0005-0000-0000-000003020000}"/>
    <cellStyle name="Prozent 2 4 3 2 3" xfId="802" xr:uid="{00000000-0005-0000-0000-000004020000}"/>
    <cellStyle name="Prozent 2 4 3 2 4" xfId="1045" xr:uid="{00000000-0005-0000-0000-000005020000}"/>
    <cellStyle name="Prozent 2 4 3 3" xfId="437" xr:uid="{00000000-0005-0000-0000-000006020000}"/>
    <cellStyle name="Prozent 2 4 3 4" xfId="681" xr:uid="{00000000-0005-0000-0000-000007020000}"/>
    <cellStyle name="Prozent 2 4 3 5" xfId="924" xr:uid="{00000000-0005-0000-0000-000008020000}"/>
    <cellStyle name="Prozent 2 4 4" xfId="261" xr:uid="{00000000-0005-0000-0000-000009020000}"/>
    <cellStyle name="Prozent 2 4 4 2" xfId="518" xr:uid="{00000000-0005-0000-0000-00000A020000}"/>
    <cellStyle name="Prozent 2 4 4 3" xfId="762" xr:uid="{00000000-0005-0000-0000-00000B020000}"/>
    <cellStyle name="Prozent 2 4 4 4" xfId="1005" xr:uid="{00000000-0005-0000-0000-00000C020000}"/>
    <cellStyle name="Prozent 2 4 5" xfId="397" xr:uid="{00000000-0005-0000-0000-00000D020000}"/>
    <cellStyle name="Prozent 2 4 6" xfId="641" xr:uid="{00000000-0005-0000-0000-00000E020000}"/>
    <cellStyle name="Prozent 2 4 7" xfId="884" xr:uid="{00000000-0005-0000-0000-00000F020000}"/>
    <cellStyle name="Prozent 2 5" xfId="104" xr:uid="{00000000-0005-0000-0000-000010020000}"/>
    <cellStyle name="Prozent 2 5 2" xfId="222" xr:uid="{00000000-0005-0000-0000-000011020000}"/>
    <cellStyle name="Prozent 2 5 2 2" xfId="343" xr:uid="{00000000-0005-0000-0000-000012020000}"/>
    <cellStyle name="Prozent 2 5 2 2 2" xfId="600" xr:uid="{00000000-0005-0000-0000-000013020000}"/>
    <cellStyle name="Prozent 2 5 2 2 3" xfId="844" xr:uid="{00000000-0005-0000-0000-000014020000}"/>
    <cellStyle name="Prozent 2 5 2 2 4" xfId="1087" xr:uid="{00000000-0005-0000-0000-000015020000}"/>
    <cellStyle name="Prozent 2 5 2 3" xfId="479" xr:uid="{00000000-0005-0000-0000-000016020000}"/>
    <cellStyle name="Prozent 2 5 2 4" xfId="723" xr:uid="{00000000-0005-0000-0000-000017020000}"/>
    <cellStyle name="Prozent 2 5 2 5" xfId="966" xr:uid="{00000000-0005-0000-0000-000018020000}"/>
    <cellStyle name="Prozent 2 5 3" xfId="181" xr:uid="{00000000-0005-0000-0000-000019020000}"/>
    <cellStyle name="Prozent 2 5 3 2" xfId="302" xr:uid="{00000000-0005-0000-0000-00001A020000}"/>
    <cellStyle name="Prozent 2 5 3 2 2" xfId="559" xr:uid="{00000000-0005-0000-0000-00001B020000}"/>
    <cellStyle name="Prozent 2 5 3 2 3" xfId="803" xr:uid="{00000000-0005-0000-0000-00001C020000}"/>
    <cellStyle name="Prozent 2 5 3 2 4" xfId="1046" xr:uid="{00000000-0005-0000-0000-00001D020000}"/>
    <cellStyle name="Prozent 2 5 3 3" xfId="438" xr:uid="{00000000-0005-0000-0000-00001E020000}"/>
    <cellStyle name="Prozent 2 5 3 4" xfId="682" xr:uid="{00000000-0005-0000-0000-00001F020000}"/>
    <cellStyle name="Prozent 2 5 3 5" xfId="925" xr:uid="{00000000-0005-0000-0000-000020020000}"/>
    <cellStyle name="Prozent 2 5 4" xfId="262" xr:uid="{00000000-0005-0000-0000-000021020000}"/>
    <cellStyle name="Prozent 2 5 4 2" xfId="519" xr:uid="{00000000-0005-0000-0000-000022020000}"/>
    <cellStyle name="Prozent 2 5 4 3" xfId="763" xr:uid="{00000000-0005-0000-0000-000023020000}"/>
    <cellStyle name="Prozent 2 5 4 4" xfId="1006" xr:uid="{00000000-0005-0000-0000-000024020000}"/>
    <cellStyle name="Prozent 2 5 5" xfId="398" xr:uid="{00000000-0005-0000-0000-000025020000}"/>
    <cellStyle name="Prozent 2 5 6" xfId="642" xr:uid="{00000000-0005-0000-0000-000026020000}"/>
    <cellStyle name="Prozent 2 5 7" xfId="885" xr:uid="{00000000-0005-0000-0000-000027020000}"/>
    <cellStyle name="Prozent 2 6" xfId="216" xr:uid="{00000000-0005-0000-0000-000028020000}"/>
    <cellStyle name="Prozent 2 6 2" xfId="337" xr:uid="{00000000-0005-0000-0000-000029020000}"/>
    <cellStyle name="Prozent 2 6 2 2" xfId="594" xr:uid="{00000000-0005-0000-0000-00002A020000}"/>
    <cellStyle name="Prozent 2 6 2 3" xfId="838" xr:uid="{00000000-0005-0000-0000-00002B020000}"/>
    <cellStyle name="Prozent 2 6 2 4" xfId="1081" xr:uid="{00000000-0005-0000-0000-00002C020000}"/>
    <cellStyle name="Prozent 2 6 3" xfId="473" xr:uid="{00000000-0005-0000-0000-00002D020000}"/>
    <cellStyle name="Prozent 2 6 4" xfId="717" xr:uid="{00000000-0005-0000-0000-00002E020000}"/>
    <cellStyle name="Prozent 2 6 5" xfId="960" xr:uid="{00000000-0005-0000-0000-00002F020000}"/>
    <cellStyle name="Prozent 2 7" xfId="175" xr:uid="{00000000-0005-0000-0000-000030020000}"/>
    <cellStyle name="Prozent 2 7 2" xfId="296" xr:uid="{00000000-0005-0000-0000-000031020000}"/>
    <cellStyle name="Prozent 2 7 2 2" xfId="553" xr:uid="{00000000-0005-0000-0000-000032020000}"/>
    <cellStyle name="Prozent 2 7 2 3" xfId="797" xr:uid="{00000000-0005-0000-0000-000033020000}"/>
    <cellStyle name="Prozent 2 7 2 4" xfId="1040" xr:uid="{00000000-0005-0000-0000-000034020000}"/>
    <cellStyle name="Prozent 2 7 3" xfId="432" xr:uid="{00000000-0005-0000-0000-000035020000}"/>
    <cellStyle name="Prozent 2 7 4" xfId="676" xr:uid="{00000000-0005-0000-0000-000036020000}"/>
    <cellStyle name="Prozent 2 7 5" xfId="919" xr:uid="{00000000-0005-0000-0000-000037020000}"/>
    <cellStyle name="Prozent 2 8" xfId="256" xr:uid="{00000000-0005-0000-0000-000038020000}"/>
    <cellStyle name="Prozent 2 8 2" xfId="513" xr:uid="{00000000-0005-0000-0000-000039020000}"/>
    <cellStyle name="Prozent 2 8 3" xfId="757" xr:uid="{00000000-0005-0000-0000-00003A020000}"/>
    <cellStyle name="Prozent 2 8 4" xfId="1000" xr:uid="{00000000-0005-0000-0000-00003B020000}"/>
    <cellStyle name="Prozent 2 9" xfId="392" xr:uid="{00000000-0005-0000-0000-00003C020000}"/>
    <cellStyle name="Prozent 3" xfId="105" xr:uid="{00000000-0005-0000-0000-00003D020000}"/>
    <cellStyle name="Schlecht" xfId="106" xr:uid="{00000000-0005-0000-0000-00003E020000}"/>
    <cellStyle name="Schlecht 2" xfId="107" xr:uid="{00000000-0005-0000-0000-00003F020000}"/>
    <cellStyle name="Standard" xfId="0" builtinId="0"/>
    <cellStyle name="Standard 2" xfId="108" xr:uid="{00000000-0005-0000-0000-000041020000}"/>
    <cellStyle name="Standard 2 2" xfId="1111" xr:uid="{00000000-0005-0000-0000-000042020000}"/>
    <cellStyle name="Standard 3" xfId="109" xr:uid="{00000000-0005-0000-0000-000043020000}"/>
    <cellStyle name="Standard 3 10" xfId="365" xr:uid="{00000000-0005-0000-0000-000044020000}"/>
    <cellStyle name="Standard 3 10 3" xfId="1109" xr:uid="{00000000-0005-0000-0000-000045020000}"/>
    <cellStyle name="Standard 3 11" xfId="399" xr:uid="{00000000-0005-0000-0000-000046020000}"/>
    <cellStyle name="Standard 3 12" xfId="643" xr:uid="{00000000-0005-0000-0000-000047020000}"/>
    <cellStyle name="Standard 3 13" xfId="886" xr:uid="{00000000-0005-0000-0000-000048020000}"/>
    <cellStyle name="Standard 3 2" xfId="110" xr:uid="{00000000-0005-0000-0000-000049020000}"/>
    <cellStyle name="Standard 3 2 10" xfId="644" xr:uid="{00000000-0005-0000-0000-00004A020000}"/>
    <cellStyle name="Standard 3 2 11" xfId="887" xr:uid="{00000000-0005-0000-0000-00004B020000}"/>
    <cellStyle name="Standard 3 2 2" xfId="111" xr:uid="{00000000-0005-0000-0000-00004C020000}"/>
    <cellStyle name="Standard 3 2 2 2" xfId="112" xr:uid="{00000000-0005-0000-0000-00004D020000}"/>
    <cellStyle name="Standard 3 2 2 2 2" xfId="226" xr:uid="{00000000-0005-0000-0000-00004E020000}"/>
    <cellStyle name="Standard 3 2 2 2 2 2" xfId="347" xr:uid="{00000000-0005-0000-0000-00004F020000}"/>
    <cellStyle name="Standard 3 2 2 2 2 2 2" xfId="604" xr:uid="{00000000-0005-0000-0000-000050020000}"/>
    <cellStyle name="Standard 3 2 2 2 2 2 3" xfId="848" xr:uid="{00000000-0005-0000-0000-000051020000}"/>
    <cellStyle name="Standard 3 2 2 2 2 2 4" xfId="1091" xr:uid="{00000000-0005-0000-0000-000052020000}"/>
    <cellStyle name="Standard 3 2 2 2 2 3" xfId="366" xr:uid="{00000000-0005-0000-0000-000053020000}"/>
    <cellStyle name="Standard 3 2 2 2 2 3 3" xfId="1110" xr:uid="{00000000-0005-0000-0000-000054020000}"/>
    <cellStyle name="Standard 3 2 2 2 2 4" xfId="483" xr:uid="{00000000-0005-0000-0000-000055020000}"/>
    <cellStyle name="Standard 3 2 2 2 2 5" xfId="727" xr:uid="{00000000-0005-0000-0000-000056020000}"/>
    <cellStyle name="Standard 3 2 2 2 2 6" xfId="970" xr:uid="{00000000-0005-0000-0000-000057020000}"/>
    <cellStyle name="Standard 3 2 2 2 3" xfId="185" xr:uid="{00000000-0005-0000-0000-000058020000}"/>
    <cellStyle name="Standard 3 2 2 2 3 2" xfId="306" xr:uid="{00000000-0005-0000-0000-000059020000}"/>
    <cellStyle name="Standard 3 2 2 2 3 2 2" xfId="563" xr:uid="{00000000-0005-0000-0000-00005A020000}"/>
    <cellStyle name="Standard 3 2 2 2 3 2 3" xfId="807" xr:uid="{00000000-0005-0000-0000-00005B020000}"/>
    <cellStyle name="Standard 3 2 2 2 3 2 4" xfId="1050" xr:uid="{00000000-0005-0000-0000-00005C020000}"/>
    <cellStyle name="Standard 3 2 2 2 3 3" xfId="442" xr:uid="{00000000-0005-0000-0000-00005D020000}"/>
    <cellStyle name="Standard 3 2 2 2 3 4" xfId="686" xr:uid="{00000000-0005-0000-0000-00005E020000}"/>
    <cellStyle name="Standard 3 2 2 2 3 5" xfId="929" xr:uid="{00000000-0005-0000-0000-00005F020000}"/>
    <cellStyle name="Standard 3 2 2 2 4" xfId="266" xr:uid="{00000000-0005-0000-0000-000060020000}"/>
    <cellStyle name="Standard 3 2 2 2 4 2" xfId="523" xr:uid="{00000000-0005-0000-0000-000061020000}"/>
    <cellStyle name="Standard 3 2 2 2 4 3" xfId="767" xr:uid="{00000000-0005-0000-0000-000062020000}"/>
    <cellStyle name="Standard 3 2 2 2 4 4" xfId="1010" xr:uid="{00000000-0005-0000-0000-000063020000}"/>
    <cellStyle name="Standard 3 2 2 2 5" xfId="402" xr:uid="{00000000-0005-0000-0000-000064020000}"/>
    <cellStyle name="Standard 3 2 2 2 6" xfId="646" xr:uid="{00000000-0005-0000-0000-000065020000}"/>
    <cellStyle name="Standard 3 2 2 2 7" xfId="889" xr:uid="{00000000-0005-0000-0000-000066020000}"/>
    <cellStyle name="Standard 3 2 2 3" xfId="225" xr:uid="{00000000-0005-0000-0000-000067020000}"/>
    <cellStyle name="Standard 3 2 2 3 2" xfId="346" xr:uid="{00000000-0005-0000-0000-000068020000}"/>
    <cellStyle name="Standard 3 2 2 3 2 2" xfId="603" xr:uid="{00000000-0005-0000-0000-000069020000}"/>
    <cellStyle name="Standard 3 2 2 3 2 3" xfId="847" xr:uid="{00000000-0005-0000-0000-00006A020000}"/>
    <cellStyle name="Standard 3 2 2 3 2 4" xfId="1090" xr:uid="{00000000-0005-0000-0000-00006B020000}"/>
    <cellStyle name="Standard 3 2 2 3 3" xfId="482" xr:uid="{00000000-0005-0000-0000-00006C020000}"/>
    <cellStyle name="Standard 3 2 2 3 4" xfId="726" xr:uid="{00000000-0005-0000-0000-00006D020000}"/>
    <cellStyle name="Standard 3 2 2 3 5" xfId="969" xr:uid="{00000000-0005-0000-0000-00006E020000}"/>
    <cellStyle name="Standard 3 2 2 4" xfId="184" xr:uid="{00000000-0005-0000-0000-00006F020000}"/>
    <cellStyle name="Standard 3 2 2 4 2" xfId="305" xr:uid="{00000000-0005-0000-0000-000070020000}"/>
    <cellStyle name="Standard 3 2 2 4 2 2" xfId="562" xr:uid="{00000000-0005-0000-0000-000071020000}"/>
    <cellStyle name="Standard 3 2 2 4 2 3" xfId="806" xr:uid="{00000000-0005-0000-0000-000072020000}"/>
    <cellStyle name="Standard 3 2 2 4 2 4" xfId="1049" xr:uid="{00000000-0005-0000-0000-000073020000}"/>
    <cellStyle name="Standard 3 2 2 4 3" xfId="441" xr:uid="{00000000-0005-0000-0000-000074020000}"/>
    <cellStyle name="Standard 3 2 2 4 4" xfId="685" xr:uid="{00000000-0005-0000-0000-000075020000}"/>
    <cellStyle name="Standard 3 2 2 4 5" xfId="928" xr:uid="{00000000-0005-0000-0000-000076020000}"/>
    <cellStyle name="Standard 3 2 2 5" xfId="265" xr:uid="{00000000-0005-0000-0000-000077020000}"/>
    <cellStyle name="Standard 3 2 2 5 2" xfId="522" xr:uid="{00000000-0005-0000-0000-000078020000}"/>
    <cellStyle name="Standard 3 2 2 5 3" xfId="766" xr:uid="{00000000-0005-0000-0000-000079020000}"/>
    <cellStyle name="Standard 3 2 2 5 4" xfId="1009" xr:uid="{00000000-0005-0000-0000-00007A020000}"/>
    <cellStyle name="Standard 3 2 2 6" xfId="401" xr:uid="{00000000-0005-0000-0000-00007B020000}"/>
    <cellStyle name="Standard 3 2 2 7" xfId="645" xr:uid="{00000000-0005-0000-0000-00007C020000}"/>
    <cellStyle name="Standard 3 2 2 8" xfId="888" xr:uid="{00000000-0005-0000-0000-00007D020000}"/>
    <cellStyle name="Standard 3 2 3" xfId="113" xr:uid="{00000000-0005-0000-0000-00007E020000}"/>
    <cellStyle name="Standard 3 2 3 2" xfId="114" xr:uid="{00000000-0005-0000-0000-00007F020000}"/>
    <cellStyle name="Standard 3 2 3 2 2" xfId="228" xr:uid="{00000000-0005-0000-0000-000080020000}"/>
    <cellStyle name="Standard 3 2 3 2 2 2" xfId="349" xr:uid="{00000000-0005-0000-0000-000081020000}"/>
    <cellStyle name="Standard 3 2 3 2 2 2 2" xfId="606" xr:uid="{00000000-0005-0000-0000-000082020000}"/>
    <cellStyle name="Standard 3 2 3 2 2 2 3" xfId="850" xr:uid="{00000000-0005-0000-0000-000083020000}"/>
    <cellStyle name="Standard 3 2 3 2 2 2 4" xfId="1093" xr:uid="{00000000-0005-0000-0000-000084020000}"/>
    <cellStyle name="Standard 3 2 3 2 2 3" xfId="485" xr:uid="{00000000-0005-0000-0000-000085020000}"/>
    <cellStyle name="Standard 3 2 3 2 2 4" xfId="729" xr:uid="{00000000-0005-0000-0000-000086020000}"/>
    <cellStyle name="Standard 3 2 3 2 2 5" xfId="972" xr:uid="{00000000-0005-0000-0000-000087020000}"/>
    <cellStyle name="Standard 3 2 3 2 3" xfId="187" xr:uid="{00000000-0005-0000-0000-000088020000}"/>
    <cellStyle name="Standard 3 2 3 2 3 2" xfId="308" xr:uid="{00000000-0005-0000-0000-000089020000}"/>
    <cellStyle name="Standard 3 2 3 2 3 2 2" xfId="565" xr:uid="{00000000-0005-0000-0000-00008A020000}"/>
    <cellStyle name="Standard 3 2 3 2 3 2 3" xfId="809" xr:uid="{00000000-0005-0000-0000-00008B020000}"/>
    <cellStyle name="Standard 3 2 3 2 3 2 4" xfId="1052" xr:uid="{00000000-0005-0000-0000-00008C020000}"/>
    <cellStyle name="Standard 3 2 3 2 3 3" xfId="444" xr:uid="{00000000-0005-0000-0000-00008D020000}"/>
    <cellStyle name="Standard 3 2 3 2 3 4" xfId="688" xr:uid="{00000000-0005-0000-0000-00008E020000}"/>
    <cellStyle name="Standard 3 2 3 2 3 5" xfId="931" xr:uid="{00000000-0005-0000-0000-00008F020000}"/>
    <cellStyle name="Standard 3 2 3 2 4" xfId="268" xr:uid="{00000000-0005-0000-0000-000090020000}"/>
    <cellStyle name="Standard 3 2 3 2 4 2" xfId="525" xr:uid="{00000000-0005-0000-0000-000091020000}"/>
    <cellStyle name="Standard 3 2 3 2 4 3" xfId="769" xr:uid="{00000000-0005-0000-0000-000092020000}"/>
    <cellStyle name="Standard 3 2 3 2 4 4" xfId="1012" xr:uid="{00000000-0005-0000-0000-000093020000}"/>
    <cellStyle name="Standard 3 2 3 2 5" xfId="404" xr:uid="{00000000-0005-0000-0000-000094020000}"/>
    <cellStyle name="Standard 3 2 3 2 6" xfId="648" xr:uid="{00000000-0005-0000-0000-000095020000}"/>
    <cellStyle name="Standard 3 2 3 2 7" xfId="891" xr:uid="{00000000-0005-0000-0000-000096020000}"/>
    <cellStyle name="Standard 3 2 3 3" xfId="227" xr:uid="{00000000-0005-0000-0000-000097020000}"/>
    <cellStyle name="Standard 3 2 3 3 2" xfId="348" xr:uid="{00000000-0005-0000-0000-000098020000}"/>
    <cellStyle name="Standard 3 2 3 3 2 2" xfId="605" xr:uid="{00000000-0005-0000-0000-000099020000}"/>
    <cellStyle name="Standard 3 2 3 3 2 3" xfId="849" xr:uid="{00000000-0005-0000-0000-00009A020000}"/>
    <cellStyle name="Standard 3 2 3 3 2 4" xfId="1092" xr:uid="{00000000-0005-0000-0000-00009B020000}"/>
    <cellStyle name="Standard 3 2 3 3 3" xfId="484" xr:uid="{00000000-0005-0000-0000-00009C020000}"/>
    <cellStyle name="Standard 3 2 3 3 4" xfId="728" xr:uid="{00000000-0005-0000-0000-00009D020000}"/>
    <cellStyle name="Standard 3 2 3 3 5" xfId="971" xr:uid="{00000000-0005-0000-0000-00009E020000}"/>
    <cellStyle name="Standard 3 2 3 4" xfId="186" xr:uid="{00000000-0005-0000-0000-00009F020000}"/>
    <cellStyle name="Standard 3 2 3 4 2" xfId="307" xr:uid="{00000000-0005-0000-0000-0000A0020000}"/>
    <cellStyle name="Standard 3 2 3 4 2 2" xfId="564" xr:uid="{00000000-0005-0000-0000-0000A1020000}"/>
    <cellStyle name="Standard 3 2 3 4 2 3" xfId="808" xr:uid="{00000000-0005-0000-0000-0000A2020000}"/>
    <cellStyle name="Standard 3 2 3 4 2 4" xfId="1051" xr:uid="{00000000-0005-0000-0000-0000A3020000}"/>
    <cellStyle name="Standard 3 2 3 4 3" xfId="443" xr:uid="{00000000-0005-0000-0000-0000A4020000}"/>
    <cellStyle name="Standard 3 2 3 4 4" xfId="687" xr:uid="{00000000-0005-0000-0000-0000A5020000}"/>
    <cellStyle name="Standard 3 2 3 4 5" xfId="930" xr:uid="{00000000-0005-0000-0000-0000A6020000}"/>
    <cellStyle name="Standard 3 2 3 5" xfId="267" xr:uid="{00000000-0005-0000-0000-0000A7020000}"/>
    <cellStyle name="Standard 3 2 3 5 2" xfId="524" xr:uid="{00000000-0005-0000-0000-0000A8020000}"/>
    <cellStyle name="Standard 3 2 3 5 3" xfId="768" xr:uid="{00000000-0005-0000-0000-0000A9020000}"/>
    <cellStyle name="Standard 3 2 3 5 4" xfId="1011" xr:uid="{00000000-0005-0000-0000-0000AA020000}"/>
    <cellStyle name="Standard 3 2 3 6" xfId="403" xr:uid="{00000000-0005-0000-0000-0000AB020000}"/>
    <cellStyle name="Standard 3 2 3 7" xfId="647" xr:uid="{00000000-0005-0000-0000-0000AC020000}"/>
    <cellStyle name="Standard 3 2 3 8" xfId="890" xr:uid="{00000000-0005-0000-0000-0000AD020000}"/>
    <cellStyle name="Standard 3 2 4" xfId="115" xr:uid="{00000000-0005-0000-0000-0000AE020000}"/>
    <cellStyle name="Standard 3 2 4 2" xfId="229" xr:uid="{00000000-0005-0000-0000-0000AF020000}"/>
    <cellStyle name="Standard 3 2 4 2 2" xfId="350" xr:uid="{00000000-0005-0000-0000-0000B0020000}"/>
    <cellStyle name="Standard 3 2 4 2 2 2" xfId="607" xr:uid="{00000000-0005-0000-0000-0000B1020000}"/>
    <cellStyle name="Standard 3 2 4 2 2 3" xfId="851" xr:uid="{00000000-0005-0000-0000-0000B2020000}"/>
    <cellStyle name="Standard 3 2 4 2 2 4" xfId="1094" xr:uid="{00000000-0005-0000-0000-0000B3020000}"/>
    <cellStyle name="Standard 3 2 4 2 3" xfId="486" xr:uid="{00000000-0005-0000-0000-0000B4020000}"/>
    <cellStyle name="Standard 3 2 4 2 4" xfId="730" xr:uid="{00000000-0005-0000-0000-0000B5020000}"/>
    <cellStyle name="Standard 3 2 4 2 5" xfId="973" xr:uid="{00000000-0005-0000-0000-0000B6020000}"/>
    <cellStyle name="Standard 3 2 4 3" xfId="188" xr:uid="{00000000-0005-0000-0000-0000B7020000}"/>
    <cellStyle name="Standard 3 2 4 3 2" xfId="309" xr:uid="{00000000-0005-0000-0000-0000B8020000}"/>
    <cellStyle name="Standard 3 2 4 3 2 2" xfId="566" xr:uid="{00000000-0005-0000-0000-0000B9020000}"/>
    <cellStyle name="Standard 3 2 4 3 2 3" xfId="810" xr:uid="{00000000-0005-0000-0000-0000BA020000}"/>
    <cellStyle name="Standard 3 2 4 3 2 4" xfId="1053" xr:uid="{00000000-0005-0000-0000-0000BB020000}"/>
    <cellStyle name="Standard 3 2 4 3 3" xfId="445" xr:uid="{00000000-0005-0000-0000-0000BC020000}"/>
    <cellStyle name="Standard 3 2 4 3 4" xfId="689" xr:uid="{00000000-0005-0000-0000-0000BD020000}"/>
    <cellStyle name="Standard 3 2 4 3 5" xfId="932" xr:uid="{00000000-0005-0000-0000-0000BE020000}"/>
    <cellStyle name="Standard 3 2 4 4" xfId="269" xr:uid="{00000000-0005-0000-0000-0000BF020000}"/>
    <cellStyle name="Standard 3 2 4 4 2" xfId="526" xr:uid="{00000000-0005-0000-0000-0000C0020000}"/>
    <cellStyle name="Standard 3 2 4 4 3" xfId="770" xr:uid="{00000000-0005-0000-0000-0000C1020000}"/>
    <cellStyle name="Standard 3 2 4 4 4" xfId="1013" xr:uid="{00000000-0005-0000-0000-0000C2020000}"/>
    <cellStyle name="Standard 3 2 4 5" xfId="405" xr:uid="{00000000-0005-0000-0000-0000C3020000}"/>
    <cellStyle name="Standard 3 2 4 6" xfId="649" xr:uid="{00000000-0005-0000-0000-0000C4020000}"/>
    <cellStyle name="Standard 3 2 4 7" xfId="892" xr:uid="{00000000-0005-0000-0000-0000C5020000}"/>
    <cellStyle name="Standard 3 2 5" xfId="116" xr:uid="{00000000-0005-0000-0000-0000C6020000}"/>
    <cellStyle name="Standard 3 2 5 2" xfId="230" xr:uid="{00000000-0005-0000-0000-0000C7020000}"/>
    <cellStyle name="Standard 3 2 5 2 2" xfId="351" xr:uid="{00000000-0005-0000-0000-0000C8020000}"/>
    <cellStyle name="Standard 3 2 5 2 2 2" xfId="608" xr:uid="{00000000-0005-0000-0000-0000C9020000}"/>
    <cellStyle name="Standard 3 2 5 2 2 3" xfId="852" xr:uid="{00000000-0005-0000-0000-0000CA020000}"/>
    <cellStyle name="Standard 3 2 5 2 2 4" xfId="1095" xr:uid="{00000000-0005-0000-0000-0000CB020000}"/>
    <cellStyle name="Standard 3 2 5 2 3" xfId="487" xr:uid="{00000000-0005-0000-0000-0000CC020000}"/>
    <cellStyle name="Standard 3 2 5 2 4" xfId="731" xr:uid="{00000000-0005-0000-0000-0000CD020000}"/>
    <cellStyle name="Standard 3 2 5 2 5" xfId="974" xr:uid="{00000000-0005-0000-0000-0000CE020000}"/>
    <cellStyle name="Standard 3 2 5 3" xfId="189" xr:uid="{00000000-0005-0000-0000-0000CF020000}"/>
    <cellStyle name="Standard 3 2 5 3 2" xfId="310" xr:uid="{00000000-0005-0000-0000-0000D0020000}"/>
    <cellStyle name="Standard 3 2 5 3 2 2" xfId="567" xr:uid="{00000000-0005-0000-0000-0000D1020000}"/>
    <cellStyle name="Standard 3 2 5 3 2 3" xfId="811" xr:uid="{00000000-0005-0000-0000-0000D2020000}"/>
    <cellStyle name="Standard 3 2 5 3 2 4" xfId="1054" xr:uid="{00000000-0005-0000-0000-0000D3020000}"/>
    <cellStyle name="Standard 3 2 5 3 3" xfId="446" xr:uid="{00000000-0005-0000-0000-0000D4020000}"/>
    <cellStyle name="Standard 3 2 5 3 4" xfId="690" xr:uid="{00000000-0005-0000-0000-0000D5020000}"/>
    <cellStyle name="Standard 3 2 5 3 5" xfId="933" xr:uid="{00000000-0005-0000-0000-0000D6020000}"/>
    <cellStyle name="Standard 3 2 5 4" xfId="270" xr:uid="{00000000-0005-0000-0000-0000D7020000}"/>
    <cellStyle name="Standard 3 2 5 4 2" xfId="527" xr:uid="{00000000-0005-0000-0000-0000D8020000}"/>
    <cellStyle name="Standard 3 2 5 4 3" xfId="771" xr:uid="{00000000-0005-0000-0000-0000D9020000}"/>
    <cellStyle name="Standard 3 2 5 4 4" xfId="1014" xr:uid="{00000000-0005-0000-0000-0000DA020000}"/>
    <cellStyle name="Standard 3 2 5 5" xfId="406" xr:uid="{00000000-0005-0000-0000-0000DB020000}"/>
    <cellStyle name="Standard 3 2 5 6" xfId="650" xr:uid="{00000000-0005-0000-0000-0000DC020000}"/>
    <cellStyle name="Standard 3 2 5 7" xfId="893" xr:uid="{00000000-0005-0000-0000-0000DD020000}"/>
    <cellStyle name="Standard 3 2 6" xfId="224" xr:uid="{00000000-0005-0000-0000-0000DE020000}"/>
    <cellStyle name="Standard 3 2 6 2" xfId="345" xr:uid="{00000000-0005-0000-0000-0000DF020000}"/>
    <cellStyle name="Standard 3 2 6 2 2" xfId="602" xr:uid="{00000000-0005-0000-0000-0000E0020000}"/>
    <cellStyle name="Standard 3 2 6 2 3" xfId="846" xr:uid="{00000000-0005-0000-0000-0000E1020000}"/>
    <cellStyle name="Standard 3 2 6 2 4" xfId="1089" xr:uid="{00000000-0005-0000-0000-0000E2020000}"/>
    <cellStyle name="Standard 3 2 6 3" xfId="481" xr:uid="{00000000-0005-0000-0000-0000E3020000}"/>
    <cellStyle name="Standard 3 2 6 4" xfId="725" xr:uid="{00000000-0005-0000-0000-0000E4020000}"/>
    <cellStyle name="Standard 3 2 6 5" xfId="968" xr:uid="{00000000-0005-0000-0000-0000E5020000}"/>
    <cellStyle name="Standard 3 2 7" xfId="183" xr:uid="{00000000-0005-0000-0000-0000E6020000}"/>
    <cellStyle name="Standard 3 2 7 2" xfId="304" xr:uid="{00000000-0005-0000-0000-0000E7020000}"/>
    <cellStyle name="Standard 3 2 7 2 2" xfId="561" xr:uid="{00000000-0005-0000-0000-0000E8020000}"/>
    <cellStyle name="Standard 3 2 7 2 3" xfId="805" xr:uid="{00000000-0005-0000-0000-0000E9020000}"/>
    <cellStyle name="Standard 3 2 7 2 4" xfId="1048" xr:uid="{00000000-0005-0000-0000-0000EA020000}"/>
    <cellStyle name="Standard 3 2 7 3" xfId="440" xr:uid="{00000000-0005-0000-0000-0000EB020000}"/>
    <cellStyle name="Standard 3 2 7 4" xfId="684" xr:uid="{00000000-0005-0000-0000-0000EC020000}"/>
    <cellStyle name="Standard 3 2 7 5" xfId="927" xr:uid="{00000000-0005-0000-0000-0000ED020000}"/>
    <cellStyle name="Standard 3 2 8" xfId="264" xr:uid="{00000000-0005-0000-0000-0000EE020000}"/>
    <cellStyle name="Standard 3 2 8 2" xfId="521" xr:uid="{00000000-0005-0000-0000-0000EF020000}"/>
    <cellStyle name="Standard 3 2 8 3" xfId="765" xr:uid="{00000000-0005-0000-0000-0000F0020000}"/>
    <cellStyle name="Standard 3 2 8 4" xfId="1008" xr:uid="{00000000-0005-0000-0000-0000F1020000}"/>
    <cellStyle name="Standard 3 2 9" xfId="400" xr:uid="{00000000-0005-0000-0000-0000F2020000}"/>
    <cellStyle name="Standard 3 3" xfId="117" xr:uid="{00000000-0005-0000-0000-0000F3020000}"/>
    <cellStyle name="Standard 3 3 2" xfId="118" xr:uid="{00000000-0005-0000-0000-0000F4020000}"/>
    <cellStyle name="Standard 3 3 2 2" xfId="232" xr:uid="{00000000-0005-0000-0000-0000F5020000}"/>
    <cellStyle name="Standard 3 3 2 2 2" xfId="353" xr:uid="{00000000-0005-0000-0000-0000F6020000}"/>
    <cellStyle name="Standard 3 3 2 2 2 2" xfId="610" xr:uid="{00000000-0005-0000-0000-0000F7020000}"/>
    <cellStyle name="Standard 3 3 2 2 2 3" xfId="854" xr:uid="{00000000-0005-0000-0000-0000F8020000}"/>
    <cellStyle name="Standard 3 3 2 2 2 4" xfId="1097" xr:uid="{00000000-0005-0000-0000-0000F9020000}"/>
    <cellStyle name="Standard 3 3 2 2 3" xfId="489" xr:uid="{00000000-0005-0000-0000-0000FA020000}"/>
    <cellStyle name="Standard 3 3 2 2 4" xfId="733" xr:uid="{00000000-0005-0000-0000-0000FB020000}"/>
    <cellStyle name="Standard 3 3 2 2 5" xfId="976" xr:uid="{00000000-0005-0000-0000-0000FC020000}"/>
    <cellStyle name="Standard 3 3 2 3" xfId="191" xr:uid="{00000000-0005-0000-0000-0000FD020000}"/>
    <cellStyle name="Standard 3 3 2 3 2" xfId="312" xr:uid="{00000000-0005-0000-0000-0000FE020000}"/>
    <cellStyle name="Standard 3 3 2 3 2 2" xfId="569" xr:uid="{00000000-0005-0000-0000-0000FF020000}"/>
    <cellStyle name="Standard 3 3 2 3 2 3" xfId="813" xr:uid="{00000000-0005-0000-0000-000000030000}"/>
    <cellStyle name="Standard 3 3 2 3 2 4" xfId="1056" xr:uid="{00000000-0005-0000-0000-000001030000}"/>
    <cellStyle name="Standard 3 3 2 3 3" xfId="448" xr:uid="{00000000-0005-0000-0000-000002030000}"/>
    <cellStyle name="Standard 3 3 2 3 4" xfId="692" xr:uid="{00000000-0005-0000-0000-000003030000}"/>
    <cellStyle name="Standard 3 3 2 3 5" xfId="935" xr:uid="{00000000-0005-0000-0000-000004030000}"/>
    <cellStyle name="Standard 3 3 2 4" xfId="272" xr:uid="{00000000-0005-0000-0000-000005030000}"/>
    <cellStyle name="Standard 3 3 2 4 2" xfId="529" xr:uid="{00000000-0005-0000-0000-000006030000}"/>
    <cellStyle name="Standard 3 3 2 4 3" xfId="773" xr:uid="{00000000-0005-0000-0000-000007030000}"/>
    <cellStyle name="Standard 3 3 2 4 4" xfId="1016" xr:uid="{00000000-0005-0000-0000-000008030000}"/>
    <cellStyle name="Standard 3 3 2 5" xfId="408" xr:uid="{00000000-0005-0000-0000-000009030000}"/>
    <cellStyle name="Standard 3 3 2 6" xfId="652" xr:uid="{00000000-0005-0000-0000-00000A030000}"/>
    <cellStyle name="Standard 3 3 2 7" xfId="895" xr:uid="{00000000-0005-0000-0000-00000B030000}"/>
    <cellStyle name="Standard 3 3 3" xfId="231" xr:uid="{00000000-0005-0000-0000-00000C030000}"/>
    <cellStyle name="Standard 3 3 3 2" xfId="352" xr:uid="{00000000-0005-0000-0000-00000D030000}"/>
    <cellStyle name="Standard 3 3 3 2 2" xfId="609" xr:uid="{00000000-0005-0000-0000-00000E030000}"/>
    <cellStyle name="Standard 3 3 3 2 3" xfId="853" xr:uid="{00000000-0005-0000-0000-00000F030000}"/>
    <cellStyle name="Standard 3 3 3 2 4" xfId="1096" xr:uid="{00000000-0005-0000-0000-000010030000}"/>
    <cellStyle name="Standard 3 3 3 3" xfId="488" xr:uid="{00000000-0005-0000-0000-000011030000}"/>
    <cellStyle name="Standard 3 3 3 4" xfId="732" xr:uid="{00000000-0005-0000-0000-000012030000}"/>
    <cellStyle name="Standard 3 3 3 5" xfId="975" xr:uid="{00000000-0005-0000-0000-000013030000}"/>
    <cellStyle name="Standard 3 3 4" xfId="190" xr:uid="{00000000-0005-0000-0000-000014030000}"/>
    <cellStyle name="Standard 3 3 4 2" xfId="311" xr:uid="{00000000-0005-0000-0000-000015030000}"/>
    <cellStyle name="Standard 3 3 4 2 2" xfId="568" xr:uid="{00000000-0005-0000-0000-000016030000}"/>
    <cellStyle name="Standard 3 3 4 2 3" xfId="812" xr:uid="{00000000-0005-0000-0000-000017030000}"/>
    <cellStyle name="Standard 3 3 4 2 4" xfId="1055" xr:uid="{00000000-0005-0000-0000-000018030000}"/>
    <cellStyle name="Standard 3 3 4 3" xfId="447" xr:uid="{00000000-0005-0000-0000-000019030000}"/>
    <cellStyle name="Standard 3 3 4 4" xfId="691" xr:uid="{00000000-0005-0000-0000-00001A030000}"/>
    <cellStyle name="Standard 3 3 4 5" xfId="934" xr:uid="{00000000-0005-0000-0000-00001B030000}"/>
    <cellStyle name="Standard 3 3 5" xfId="271" xr:uid="{00000000-0005-0000-0000-00001C030000}"/>
    <cellStyle name="Standard 3 3 5 2" xfId="528" xr:uid="{00000000-0005-0000-0000-00001D030000}"/>
    <cellStyle name="Standard 3 3 5 3" xfId="772" xr:uid="{00000000-0005-0000-0000-00001E030000}"/>
    <cellStyle name="Standard 3 3 5 4" xfId="1015" xr:uid="{00000000-0005-0000-0000-00001F030000}"/>
    <cellStyle name="Standard 3 3 6" xfId="407" xr:uid="{00000000-0005-0000-0000-000020030000}"/>
    <cellStyle name="Standard 3 3 7" xfId="651" xr:uid="{00000000-0005-0000-0000-000021030000}"/>
    <cellStyle name="Standard 3 3 8" xfId="894" xr:uid="{00000000-0005-0000-0000-000022030000}"/>
    <cellStyle name="Standard 3 4" xfId="119" xr:uid="{00000000-0005-0000-0000-000023030000}"/>
    <cellStyle name="Standard 3 4 2" xfId="120" xr:uid="{00000000-0005-0000-0000-000024030000}"/>
    <cellStyle name="Standard 3 4 2 2" xfId="234" xr:uid="{00000000-0005-0000-0000-000025030000}"/>
    <cellStyle name="Standard 3 4 2 2 2" xfId="355" xr:uid="{00000000-0005-0000-0000-000026030000}"/>
    <cellStyle name="Standard 3 4 2 2 2 2" xfId="612" xr:uid="{00000000-0005-0000-0000-000027030000}"/>
    <cellStyle name="Standard 3 4 2 2 2 3" xfId="856" xr:uid="{00000000-0005-0000-0000-000028030000}"/>
    <cellStyle name="Standard 3 4 2 2 2 4" xfId="1099" xr:uid="{00000000-0005-0000-0000-000029030000}"/>
    <cellStyle name="Standard 3 4 2 2 3" xfId="491" xr:uid="{00000000-0005-0000-0000-00002A030000}"/>
    <cellStyle name="Standard 3 4 2 2 4" xfId="735" xr:uid="{00000000-0005-0000-0000-00002B030000}"/>
    <cellStyle name="Standard 3 4 2 2 5" xfId="978" xr:uid="{00000000-0005-0000-0000-00002C030000}"/>
    <cellStyle name="Standard 3 4 2 3" xfId="193" xr:uid="{00000000-0005-0000-0000-00002D030000}"/>
    <cellStyle name="Standard 3 4 2 3 2" xfId="314" xr:uid="{00000000-0005-0000-0000-00002E030000}"/>
    <cellStyle name="Standard 3 4 2 3 2 2" xfId="571" xr:uid="{00000000-0005-0000-0000-00002F030000}"/>
    <cellStyle name="Standard 3 4 2 3 2 3" xfId="815" xr:uid="{00000000-0005-0000-0000-000030030000}"/>
    <cellStyle name="Standard 3 4 2 3 2 4" xfId="1058" xr:uid="{00000000-0005-0000-0000-000031030000}"/>
    <cellStyle name="Standard 3 4 2 3 3" xfId="450" xr:uid="{00000000-0005-0000-0000-000032030000}"/>
    <cellStyle name="Standard 3 4 2 3 4" xfId="694" xr:uid="{00000000-0005-0000-0000-000033030000}"/>
    <cellStyle name="Standard 3 4 2 3 5" xfId="937" xr:uid="{00000000-0005-0000-0000-000034030000}"/>
    <cellStyle name="Standard 3 4 2 4" xfId="274" xr:uid="{00000000-0005-0000-0000-000035030000}"/>
    <cellStyle name="Standard 3 4 2 4 2" xfId="531" xr:uid="{00000000-0005-0000-0000-000036030000}"/>
    <cellStyle name="Standard 3 4 2 4 3" xfId="775" xr:uid="{00000000-0005-0000-0000-000037030000}"/>
    <cellStyle name="Standard 3 4 2 4 4" xfId="1018" xr:uid="{00000000-0005-0000-0000-000038030000}"/>
    <cellStyle name="Standard 3 4 2 5" xfId="410" xr:uid="{00000000-0005-0000-0000-000039030000}"/>
    <cellStyle name="Standard 3 4 2 6" xfId="654" xr:uid="{00000000-0005-0000-0000-00003A030000}"/>
    <cellStyle name="Standard 3 4 2 7" xfId="897" xr:uid="{00000000-0005-0000-0000-00003B030000}"/>
    <cellStyle name="Standard 3 4 3" xfId="233" xr:uid="{00000000-0005-0000-0000-00003C030000}"/>
    <cellStyle name="Standard 3 4 3 2" xfId="354" xr:uid="{00000000-0005-0000-0000-00003D030000}"/>
    <cellStyle name="Standard 3 4 3 2 2" xfId="611" xr:uid="{00000000-0005-0000-0000-00003E030000}"/>
    <cellStyle name="Standard 3 4 3 2 3" xfId="855" xr:uid="{00000000-0005-0000-0000-00003F030000}"/>
    <cellStyle name="Standard 3 4 3 2 4" xfId="1098" xr:uid="{00000000-0005-0000-0000-000040030000}"/>
    <cellStyle name="Standard 3 4 3 3" xfId="490" xr:uid="{00000000-0005-0000-0000-000041030000}"/>
    <cellStyle name="Standard 3 4 3 4" xfId="734" xr:uid="{00000000-0005-0000-0000-000042030000}"/>
    <cellStyle name="Standard 3 4 3 5" xfId="977" xr:uid="{00000000-0005-0000-0000-000043030000}"/>
    <cellStyle name="Standard 3 4 4" xfId="192" xr:uid="{00000000-0005-0000-0000-000044030000}"/>
    <cellStyle name="Standard 3 4 4 2" xfId="313" xr:uid="{00000000-0005-0000-0000-000045030000}"/>
    <cellStyle name="Standard 3 4 4 2 2" xfId="570" xr:uid="{00000000-0005-0000-0000-000046030000}"/>
    <cellStyle name="Standard 3 4 4 2 3" xfId="814" xr:uid="{00000000-0005-0000-0000-000047030000}"/>
    <cellStyle name="Standard 3 4 4 2 4" xfId="1057" xr:uid="{00000000-0005-0000-0000-000048030000}"/>
    <cellStyle name="Standard 3 4 4 3" xfId="449" xr:uid="{00000000-0005-0000-0000-000049030000}"/>
    <cellStyle name="Standard 3 4 4 4" xfId="693" xr:uid="{00000000-0005-0000-0000-00004A030000}"/>
    <cellStyle name="Standard 3 4 4 5" xfId="936" xr:uid="{00000000-0005-0000-0000-00004B030000}"/>
    <cellStyle name="Standard 3 4 5" xfId="273" xr:uid="{00000000-0005-0000-0000-00004C030000}"/>
    <cellStyle name="Standard 3 4 5 2" xfId="530" xr:uid="{00000000-0005-0000-0000-00004D030000}"/>
    <cellStyle name="Standard 3 4 5 3" xfId="774" xr:uid="{00000000-0005-0000-0000-00004E030000}"/>
    <cellStyle name="Standard 3 4 5 4" xfId="1017" xr:uid="{00000000-0005-0000-0000-00004F030000}"/>
    <cellStyle name="Standard 3 4 6" xfId="409" xr:uid="{00000000-0005-0000-0000-000050030000}"/>
    <cellStyle name="Standard 3 4 7" xfId="653" xr:uid="{00000000-0005-0000-0000-000051030000}"/>
    <cellStyle name="Standard 3 4 8" xfId="896" xr:uid="{00000000-0005-0000-0000-000052030000}"/>
    <cellStyle name="Standard 3 5" xfId="121" xr:uid="{00000000-0005-0000-0000-000053030000}"/>
    <cellStyle name="Standard 3 5 2" xfId="235" xr:uid="{00000000-0005-0000-0000-000054030000}"/>
    <cellStyle name="Standard 3 5 2 2" xfId="356" xr:uid="{00000000-0005-0000-0000-000055030000}"/>
    <cellStyle name="Standard 3 5 2 2 2" xfId="613" xr:uid="{00000000-0005-0000-0000-000056030000}"/>
    <cellStyle name="Standard 3 5 2 2 3" xfId="857" xr:uid="{00000000-0005-0000-0000-000057030000}"/>
    <cellStyle name="Standard 3 5 2 2 4" xfId="1100" xr:uid="{00000000-0005-0000-0000-000058030000}"/>
    <cellStyle name="Standard 3 5 2 3" xfId="492" xr:uid="{00000000-0005-0000-0000-000059030000}"/>
    <cellStyle name="Standard 3 5 2 4" xfId="736" xr:uid="{00000000-0005-0000-0000-00005A030000}"/>
    <cellStyle name="Standard 3 5 2 5" xfId="979" xr:uid="{00000000-0005-0000-0000-00005B030000}"/>
    <cellStyle name="Standard 3 5 3" xfId="194" xr:uid="{00000000-0005-0000-0000-00005C030000}"/>
    <cellStyle name="Standard 3 5 3 2" xfId="315" xr:uid="{00000000-0005-0000-0000-00005D030000}"/>
    <cellStyle name="Standard 3 5 3 2 2" xfId="572" xr:uid="{00000000-0005-0000-0000-00005E030000}"/>
    <cellStyle name="Standard 3 5 3 2 3" xfId="816" xr:uid="{00000000-0005-0000-0000-00005F030000}"/>
    <cellStyle name="Standard 3 5 3 2 4" xfId="1059" xr:uid="{00000000-0005-0000-0000-000060030000}"/>
    <cellStyle name="Standard 3 5 3 3" xfId="451" xr:uid="{00000000-0005-0000-0000-000061030000}"/>
    <cellStyle name="Standard 3 5 3 4" xfId="695" xr:uid="{00000000-0005-0000-0000-000062030000}"/>
    <cellStyle name="Standard 3 5 3 5" xfId="938" xr:uid="{00000000-0005-0000-0000-000063030000}"/>
    <cellStyle name="Standard 3 5 4" xfId="275" xr:uid="{00000000-0005-0000-0000-000064030000}"/>
    <cellStyle name="Standard 3 5 4 2" xfId="532" xr:uid="{00000000-0005-0000-0000-000065030000}"/>
    <cellStyle name="Standard 3 5 4 3" xfId="776" xr:uid="{00000000-0005-0000-0000-000066030000}"/>
    <cellStyle name="Standard 3 5 4 4" xfId="1019" xr:uid="{00000000-0005-0000-0000-000067030000}"/>
    <cellStyle name="Standard 3 5 5" xfId="411" xr:uid="{00000000-0005-0000-0000-000068030000}"/>
    <cellStyle name="Standard 3 5 6" xfId="655" xr:uid="{00000000-0005-0000-0000-000069030000}"/>
    <cellStyle name="Standard 3 5 7" xfId="898" xr:uid="{00000000-0005-0000-0000-00006A030000}"/>
    <cellStyle name="Standard 3 6" xfId="122" xr:uid="{00000000-0005-0000-0000-00006B030000}"/>
    <cellStyle name="Standard 3 6 2" xfId="236" xr:uid="{00000000-0005-0000-0000-00006C030000}"/>
    <cellStyle name="Standard 3 6 2 2" xfId="357" xr:uid="{00000000-0005-0000-0000-00006D030000}"/>
    <cellStyle name="Standard 3 6 2 2 2" xfId="614" xr:uid="{00000000-0005-0000-0000-00006E030000}"/>
    <cellStyle name="Standard 3 6 2 2 3" xfId="858" xr:uid="{00000000-0005-0000-0000-00006F030000}"/>
    <cellStyle name="Standard 3 6 2 2 4" xfId="1101" xr:uid="{00000000-0005-0000-0000-000070030000}"/>
    <cellStyle name="Standard 3 6 2 3" xfId="493" xr:uid="{00000000-0005-0000-0000-000071030000}"/>
    <cellStyle name="Standard 3 6 2 4" xfId="737" xr:uid="{00000000-0005-0000-0000-000072030000}"/>
    <cellStyle name="Standard 3 6 2 5" xfId="980" xr:uid="{00000000-0005-0000-0000-000073030000}"/>
    <cellStyle name="Standard 3 6 3" xfId="195" xr:uid="{00000000-0005-0000-0000-000074030000}"/>
    <cellStyle name="Standard 3 6 3 2" xfId="316" xr:uid="{00000000-0005-0000-0000-000075030000}"/>
    <cellStyle name="Standard 3 6 3 2 2" xfId="573" xr:uid="{00000000-0005-0000-0000-000076030000}"/>
    <cellStyle name="Standard 3 6 3 2 3" xfId="817" xr:uid="{00000000-0005-0000-0000-000077030000}"/>
    <cellStyle name="Standard 3 6 3 2 4" xfId="1060" xr:uid="{00000000-0005-0000-0000-000078030000}"/>
    <cellStyle name="Standard 3 6 3 3" xfId="452" xr:uid="{00000000-0005-0000-0000-000079030000}"/>
    <cellStyle name="Standard 3 6 3 4" xfId="696" xr:uid="{00000000-0005-0000-0000-00007A030000}"/>
    <cellStyle name="Standard 3 6 3 5" xfId="939" xr:uid="{00000000-0005-0000-0000-00007B030000}"/>
    <cellStyle name="Standard 3 6 4" xfId="276" xr:uid="{00000000-0005-0000-0000-00007C030000}"/>
    <cellStyle name="Standard 3 6 4 2" xfId="533" xr:uid="{00000000-0005-0000-0000-00007D030000}"/>
    <cellStyle name="Standard 3 6 4 3" xfId="777" xr:uid="{00000000-0005-0000-0000-00007E030000}"/>
    <cellStyle name="Standard 3 6 4 4" xfId="1020" xr:uid="{00000000-0005-0000-0000-00007F030000}"/>
    <cellStyle name="Standard 3 6 5" xfId="412" xr:uid="{00000000-0005-0000-0000-000080030000}"/>
    <cellStyle name="Standard 3 6 6" xfId="656" xr:uid="{00000000-0005-0000-0000-000081030000}"/>
    <cellStyle name="Standard 3 6 7" xfId="899" xr:uid="{00000000-0005-0000-0000-000082030000}"/>
    <cellStyle name="Standard 3 7" xfId="223" xr:uid="{00000000-0005-0000-0000-000083030000}"/>
    <cellStyle name="Standard 3 7 2" xfId="344" xr:uid="{00000000-0005-0000-0000-000084030000}"/>
    <cellStyle name="Standard 3 7 2 2" xfId="601" xr:uid="{00000000-0005-0000-0000-000085030000}"/>
    <cellStyle name="Standard 3 7 2 3" xfId="845" xr:uid="{00000000-0005-0000-0000-000086030000}"/>
    <cellStyle name="Standard 3 7 2 4" xfId="1088" xr:uid="{00000000-0005-0000-0000-000087030000}"/>
    <cellStyle name="Standard 3 7 3" xfId="480" xr:uid="{00000000-0005-0000-0000-000088030000}"/>
    <cellStyle name="Standard 3 7 4" xfId="724" xr:uid="{00000000-0005-0000-0000-000089030000}"/>
    <cellStyle name="Standard 3 7 5" xfId="967" xr:uid="{00000000-0005-0000-0000-00008A030000}"/>
    <cellStyle name="Standard 3 8" xfId="182" xr:uid="{00000000-0005-0000-0000-00008B030000}"/>
    <cellStyle name="Standard 3 8 2" xfId="303" xr:uid="{00000000-0005-0000-0000-00008C030000}"/>
    <cellStyle name="Standard 3 8 2 2" xfId="560" xr:uid="{00000000-0005-0000-0000-00008D030000}"/>
    <cellStyle name="Standard 3 8 2 3" xfId="804" xr:uid="{00000000-0005-0000-0000-00008E030000}"/>
    <cellStyle name="Standard 3 8 2 4" xfId="1047" xr:uid="{00000000-0005-0000-0000-00008F030000}"/>
    <cellStyle name="Standard 3 8 3" xfId="439" xr:uid="{00000000-0005-0000-0000-000090030000}"/>
    <cellStyle name="Standard 3 8 4" xfId="683" xr:uid="{00000000-0005-0000-0000-000091030000}"/>
    <cellStyle name="Standard 3 8 5" xfId="926" xr:uid="{00000000-0005-0000-0000-000092030000}"/>
    <cellStyle name="Standard 3 9" xfId="263" xr:uid="{00000000-0005-0000-0000-000093030000}"/>
    <cellStyle name="Standard 3 9 2" xfId="520" xr:uid="{00000000-0005-0000-0000-000094030000}"/>
    <cellStyle name="Standard 3 9 3" xfId="764" xr:uid="{00000000-0005-0000-0000-000095030000}"/>
    <cellStyle name="Standard 3 9 4" xfId="1007" xr:uid="{00000000-0005-0000-0000-000096030000}"/>
    <cellStyle name="Standard 4" xfId="123" xr:uid="{00000000-0005-0000-0000-000097030000}"/>
    <cellStyle name="Standard 4 10" xfId="657" xr:uid="{00000000-0005-0000-0000-000098030000}"/>
    <cellStyle name="Standard 4 11" xfId="900" xr:uid="{00000000-0005-0000-0000-000099030000}"/>
    <cellStyle name="Standard 4 2" xfId="124" xr:uid="{00000000-0005-0000-0000-00009A030000}"/>
    <cellStyle name="Standard 4 2 2" xfId="125" xr:uid="{00000000-0005-0000-0000-00009B030000}"/>
    <cellStyle name="Standard 4 2 2 2" xfId="239" xr:uid="{00000000-0005-0000-0000-00009C030000}"/>
    <cellStyle name="Standard 4 2 2 2 2" xfId="360" xr:uid="{00000000-0005-0000-0000-00009D030000}"/>
    <cellStyle name="Standard 4 2 2 2 2 2" xfId="617" xr:uid="{00000000-0005-0000-0000-00009E030000}"/>
    <cellStyle name="Standard 4 2 2 2 2 3" xfId="861" xr:uid="{00000000-0005-0000-0000-00009F030000}"/>
    <cellStyle name="Standard 4 2 2 2 2 4" xfId="1104" xr:uid="{00000000-0005-0000-0000-0000A0030000}"/>
    <cellStyle name="Standard 4 2 2 2 3" xfId="496" xr:uid="{00000000-0005-0000-0000-0000A1030000}"/>
    <cellStyle name="Standard 4 2 2 2 4" xfId="740" xr:uid="{00000000-0005-0000-0000-0000A2030000}"/>
    <cellStyle name="Standard 4 2 2 2 5" xfId="983" xr:uid="{00000000-0005-0000-0000-0000A3030000}"/>
    <cellStyle name="Standard 4 2 2 3" xfId="198" xr:uid="{00000000-0005-0000-0000-0000A4030000}"/>
    <cellStyle name="Standard 4 2 2 3 2" xfId="319" xr:uid="{00000000-0005-0000-0000-0000A5030000}"/>
    <cellStyle name="Standard 4 2 2 3 2 2" xfId="576" xr:uid="{00000000-0005-0000-0000-0000A6030000}"/>
    <cellStyle name="Standard 4 2 2 3 2 3" xfId="820" xr:uid="{00000000-0005-0000-0000-0000A7030000}"/>
    <cellStyle name="Standard 4 2 2 3 2 4" xfId="1063" xr:uid="{00000000-0005-0000-0000-0000A8030000}"/>
    <cellStyle name="Standard 4 2 2 3 3" xfId="455" xr:uid="{00000000-0005-0000-0000-0000A9030000}"/>
    <cellStyle name="Standard 4 2 2 3 4" xfId="699" xr:uid="{00000000-0005-0000-0000-0000AA030000}"/>
    <cellStyle name="Standard 4 2 2 3 5" xfId="942" xr:uid="{00000000-0005-0000-0000-0000AB030000}"/>
    <cellStyle name="Standard 4 2 2 4" xfId="279" xr:uid="{00000000-0005-0000-0000-0000AC030000}"/>
    <cellStyle name="Standard 4 2 2 4 2" xfId="536" xr:uid="{00000000-0005-0000-0000-0000AD030000}"/>
    <cellStyle name="Standard 4 2 2 4 3" xfId="780" xr:uid="{00000000-0005-0000-0000-0000AE030000}"/>
    <cellStyle name="Standard 4 2 2 4 4" xfId="1023" xr:uid="{00000000-0005-0000-0000-0000AF030000}"/>
    <cellStyle name="Standard 4 2 2 5" xfId="415" xr:uid="{00000000-0005-0000-0000-0000B0030000}"/>
    <cellStyle name="Standard 4 2 2 6" xfId="659" xr:uid="{00000000-0005-0000-0000-0000B1030000}"/>
    <cellStyle name="Standard 4 2 2 7" xfId="902" xr:uid="{00000000-0005-0000-0000-0000B2030000}"/>
    <cellStyle name="Standard 4 2 3" xfId="238" xr:uid="{00000000-0005-0000-0000-0000B3030000}"/>
    <cellStyle name="Standard 4 2 3 2" xfId="359" xr:uid="{00000000-0005-0000-0000-0000B4030000}"/>
    <cellStyle name="Standard 4 2 3 2 2" xfId="616" xr:uid="{00000000-0005-0000-0000-0000B5030000}"/>
    <cellStyle name="Standard 4 2 3 2 3" xfId="860" xr:uid="{00000000-0005-0000-0000-0000B6030000}"/>
    <cellStyle name="Standard 4 2 3 2 4" xfId="1103" xr:uid="{00000000-0005-0000-0000-0000B7030000}"/>
    <cellStyle name="Standard 4 2 3 3" xfId="495" xr:uid="{00000000-0005-0000-0000-0000B8030000}"/>
    <cellStyle name="Standard 4 2 3 4" xfId="739" xr:uid="{00000000-0005-0000-0000-0000B9030000}"/>
    <cellStyle name="Standard 4 2 3 5" xfId="982" xr:uid="{00000000-0005-0000-0000-0000BA030000}"/>
    <cellStyle name="Standard 4 2 4" xfId="197" xr:uid="{00000000-0005-0000-0000-0000BB030000}"/>
    <cellStyle name="Standard 4 2 4 2" xfId="318" xr:uid="{00000000-0005-0000-0000-0000BC030000}"/>
    <cellStyle name="Standard 4 2 4 2 2" xfId="575" xr:uid="{00000000-0005-0000-0000-0000BD030000}"/>
    <cellStyle name="Standard 4 2 4 2 3" xfId="819" xr:uid="{00000000-0005-0000-0000-0000BE030000}"/>
    <cellStyle name="Standard 4 2 4 2 4" xfId="1062" xr:uid="{00000000-0005-0000-0000-0000BF030000}"/>
    <cellStyle name="Standard 4 2 4 3" xfId="454" xr:uid="{00000000-0005-0000-0000-0000C0030000}"/>
    <cellStyle name="Standard 4 2 4 4" xfId="698" xr:uid="{00000000-0005-0000-0000-0000C1030000}"/>
    <cellStyle name="Standard 4 2 4 5" xfId="941" xr:uid="{00000000-0005-0000-0000-0000C2030000}"/>
    <cellStyle name="Standard 4 2 5" xfId="278" xr:uid="{00000000-0005-0000-0000-0000C3030000}"/>
    <cellStyle name="Standard 4 2 5 2" xfId="535" xr:uid="{00000000-0005-0000-0000-0000C4030000}"/>
    <cellStyle name="Standard 4 2 5 3" xfId="779" xr:uid="{00000000-0005-0000-0000-0000C5030000}"/>
    <cellStyle name="Standard 4 2 5 4" xfId="1022" xr:uid="{00000000-0005-0000-0000-0000C6030000}"/>
    <cellStyle name="Standard 4 2 6" xfId="414" xr:uid="{00000000-0005-0000-0000-0000C7030000}"/>
    <cellStyle name="Standard 4 2 7" xfId="658" xr:uid="{00000000-0005-0000-0000-0000C8030000}"/>
    <cellStyle name="Standard 4 2 8" xfId="901" xr:uid="{00000000-0005-0000-0000-0000C9030000}"/>
    <cellStyle name="Standard 4 3" xfId="126" xr:uid="{00000000-0005-0000-0000-0000CA030000}"/>
    <cellStyle name="Standard 4 3 2" xfId="127" xr:uid="{00000000-0005-0000-0000-0000CB030000}"/>
    <cellStyle name="Standard 4 3 2 2" xfId="241" xr:uid="{00000000-0005-0000-0000-0000CC030000}"/>
    <cellStyle name="Standard 4 3 2 2 2" xfId="362" xr:uid="{00000000-0005-0000-0000-0000CD030000}"/>
    <cellStyle name="Standard 4 3 2 2 2 2" xfId="619" xr:uid="{00000000-0005-0000-0000-0000CE030000}"/>
    <cellStyle name="Standard 4 3 2 2 2 3" xfId="863" xr:uid="{00000000-0005-0000-0000-0000CF030000}"/>
    <cellStyle name="Standard 4 3 2 2 2 4" xfId="1106" xr:uid="{00000000-0005-0000-0000-0000D0030000}"/>
    <cellStyle name="Standard 4 3 2 2 3" xfId="498" xr:uid="{00000000-0005-0000-0000-0000D1030000}"/>
    <cellStyle name="Standard 4 3 2 2 4" xfId="742" xr:uid="{00000000-0005-0000-0000-0000D2030000}"/>
    <cellStyle name="Standard 4 3 2 2 5" xfId="985" xr:uid="{00000000-0005-0000-0000-0000D3030000}"/>
    <cellStyle name="Standard 4 3 2 3" xfId="200" xr:uid="{00000000-0005-0000-0000-0000D4030000}"/>
    <cellStyle name="Standard 4 3 2 3 2" xfId="321" xr:uid="{00000000-0005-0000-0000-0000D5030000}"/>
    <cellStyle name="Standard 4 3 2 3 2 2" xfId="578" xr:uid="{00000000-0005-0000-0000-0000D6030000}"/>
    <cellStyle name="Standard 4 3 2 3 2 3" xfId="822" xr:uid="{00000000-0005-0000-0000-0000D7030000}"/>
    <cellStyle name="Standard 4 3 2 3 2 4" xfId="1065" xr:uid="{00000000-0005-0000-0000-0000D8030000}"/>
    <cellStyle name="Standard 4 3 2 3 3" xfId="457" xr:uid="{00000000-0005-0000-0000-0000D9030000}"/>
    <cellStyle name="Standard 4 3 2 3 4" xfId="701" xr:uid="{00000000-0005-0000-0000-0000DA030000}"/>
    <cellStyle name="Standard 4 3 2 3 5" xfId="944" xr:uid="{00000000-0005-0000-0000-0000DB030000}"/>
    <cellStyle name="Standard 4 3 2 4" xfId="281" xr:uid="{00000000-0005-0000-0000-0000DC030000}"/>
    <cellStyle name="Standard 4 3 2 4 2" xfId="538" xr:uid="{00000000-0005-0000-0000-0000DD030000}"/>
    <cellStyle name="Standard 4 3 2 4 3" xfId="782" xr:uid="{00000000-0005-0000-0000-0000DE030000}"/>
    <cellStyle name="Standard 4 3 2 4 4" xfId="1025" xr:uid="{00000000-0005-0000-0000-0000DF030000}"/>
    <cellStyle name="Standard 4 3 2 5" xfId="417" xr:uid="{00000000-0005-0000-0000-0000E0030000}"/>
    <cellStyle name="Standard 4 3 2 6" xfId="661" xr:uid="{00000000-0005-0000-0000-0000E1030000}"/>
    <cellStyle name="Standard 4 3 2 7" xfId="904" xr:uid="{00000000-0005-0000-0000-0000E2030000}"/>
    <cellStyle name="Standard 4 3 3" xfId="240" xr:uid="{00000000-0005-0000-0000-0000E3030000}"/>
    <cellStyle name="Standard 4 3 3 2" xfId="361" xr:uid="{00000000-0005-0000-0000-0000E4030000}"/>
    <cellStyle name="Standard 4 3 3 2 2" xfId="618" xr:uid="{00000000-0005-0000-0000-0000E5030000}"/>
    <cellStyle name="Standard 4 3 3 2 3" xfId="862" xr:uid="{00000000-0005-0000-0000-0000E6030000}"/>
    <cellStyle name="Standard 4 3 3 2 4" xfId="1105" xr:uid="{00000000-0005-0000-0000-0000E7030000}"/>
    <cellStyle name="Standard 4 3 3 3" xfId="497" xr:uid="{00000000-0005-0000-0000-0000E8030000}"/>
    <cellStyle name="Standard 4 3 3 4" xfId="741" xr:uid="{00000000-0005-0000-0000-0000E9030000}"/>
    <cellStyle name="Standard 4 3 3 5" xfId="984" xr:uid="{00000000-0005-0000-0000-0000EA030000}"/>
    <cellStyle name="Standard 4 3 4" xfId="199" xr:uid="{00000000-0005-0000-0000-0000EB030000}"/>
    <cellStyle name="Standard 4 3 4 2" xfId="320" xr:uid="{00000000-0005-0000-0000-0000EC030000}"/>
    <cellStyle name="Standard 4 3 4 2 2" xfId="577" xr:uid="{00000000-0005-0000-0000-0000ED030000}"/>
    <cellStyle name="Standard 4 3 4 2 3" xfId="821" xr:uid="{00000000-0005-0000-0000-0000EE030000}"/>
    <cellStyle name="Standard 4 3 4 2 4" xfId="1064" xr:uid="{00000000-0005-0000-0000-0000EF030000}"/>
    <cellStyle name="Standard 4 3 4 3" xfId="456" xr:uid="{00000000-0005-0000-0000-0000F0030000}"/>
    <cellStyle name="Standard 4 3 4 4" xfId="700" xr:uid="{00000000-0005-0000-0000-0000F1030000}"/>
    <cellStyle name="Standard 4 3 4 5" xfId="943" xr:uid="{00000000-0005-0000-0000-0000F2030000}"/>
    <cellStyle name="Standard 4 3 5" xfId="280" xr:uid="{00000000-0005-0000-0000-0000F3030000}"/>
    <cellStyle name="Standard 4 3 5 2" xfId="537" xr:uid="{00000000-0005-0000-0000-0000F4030000}"/>
    <cellStyle name="Standard 4 3 5 3" xfId="781" xr:uid="{00000000-0005-0000-0000-0000F5030000}"/>
    <cellStyle name="Standard 4 3 5 4" xfId="1024" xr:uid="{00000000-0005-0000-0000-0000F6030000}"/>
    <cellStyle name="Standard 4 3 6" xfId="416" xr:uid="{00000000-0005-0000-0000-0000F7030000}"/>
    <cellStyle name="Standard 4 3 7" xfId="660" xr:uid="{00000000-0005-0000-0000-0000F8030000}"/>
    <cellStyle name="Standard 4 3 8" xfId="903" xr:uid="{00000000-0005-0000-0000-0000F9030000}"/>
    <cellStyle name="Standard 4 4" xfId="128" xr:uid="{00000000-0005-0000-0000-0000FA030000}"/>
    <cellStyle name="Standard 4 4 2" xfId="242" xr:uid="{00000000-0005-0000-0000-0000FB030000}"/>
    <cellStyle name="Standard 4 4 2 2" xfId="363" xr:uid="{00000000-0005-0000-0000-0000FC030000}"/>
    <cellStyle name="Standard 4 4 2 2 2" xfId="620" xr:uid="{00000000-0005-0000-0000-0000FD030000}"/>
    <cellStyle name="Standard 4 4 2 2 3" xfId="864" xr:uid="{00000000-0005-0000-0000-0000FE030000}"/>
    <cellStyle name="Standard 4 4 2 2 4" xfId="1107" xr:uid="{00000000-0005-0000-0000-0000FF030000}"/>
    <cellStyle name="Standard 4 4 2 3" xfId="499" xr:uid="{00000000-0005-0000-0000-000000040000}"/>
    <cellStyle name="Standard 4 4 2 4" xfId="743" xr:uid="{00000000-0005-0000-0000-000001040000}"/>
    <cellStyle name="Standard 4 4 2 5" xfId="986" xr:uid="{00000000-0005-0000-0000-000002040000}"/>
    <cellStyle name="Standard 4 4 3" xfId="201" xr:uid="{00000000-0005-0000-0000-000003040000}"/>
    <cellStyle name="Standard 4 4 3 2" xfId="322" xr:uid="{00000000-0005-0000-0000-000004040000}"/>
    <cellStyle name="Standard 4 4 3 2 2" xfId="579" xr:uid="{00000000-0005-0000-0000-000005040000}"/>
    <cellStyle name="Standard 4 4 3 2 3" xfId="823" xr:uid="{00000000-0005-0000-0000-000006040000}"/>
    <cellStyle name="Standard 4 4 3 2 4" xfId="1066" xr:uid="{00000000-0005-0000-0000-000007040000}"/>
    <cellStyle name="Standard 4 4 3 3" xfId="458" xr:uid="{00000000-0005-0000-0000-000008040000}"/>
    <cellStyle name="Standard 4 4 3 4" xfId="702" xr:uid="{00000000-0005-0000-0000-000009040000}"/>
    <cellStyle name="Standard 4 4 3 5" xfId="945" xr:uid="{00000000-0005-0000-0000-00000A040000}"/>
    <cellStyle name="Standard 4 4 4" xfId="282" xr:uid="{00000000-0005-0000-0000-00000B040000}"/>
    <cellStyle name="Standard 4 4 4 2" xfId="539" xr:uid="{00000000-0005-0000-0000-00000C040000}"/>
    <cellStyle name="Standard 4 4 4 3" xfId="783" xr:uid="{00000000-0005-0000-0000-00000D040000}"/>
    <cellStyle name="Standard 4 4 4 4" xfId="1026" xr:uid="{00000000-0005-0000-0000-00000E040000}"/>
    <cellStyle name="Standard 4 4 5" xfId="418" xr:uid="{00000000-0005-0000-0000-00000F040000}"/>
    <cellStyle name="Standard 4 4 6" xfId="662" xr:uid="{00000000-0005-0000-0000-000010040000}"/>
    <cellStyle name="Standard 4 4 7" xfId="905" xr:uid="{00000000-0005-0000-0000-000011040000}"/>
    <cellStyle name="Standard 4 5" xfId="129" xr:uid="{00000000-0005-0000-0000-000012040000}"/>
    <cellStyle name="Standard 4 5 2" xfId="243" xr:uid="{00000000-0005-0000-0000-000013040000}"/>
    <cellStyle name="Standard 4 5 2 2" xfId="364" xr:uid="{00000000-0005-0000-0000-000014040000}"/>
    <cellStyle name="Standard 4 5 2 2 2" xfId="621" xr:uid="{00000000-0005-0000-0000-000015040000}"/>
    <cellStyle name="Standard 4 5 2 2 3" xfId="865" xr:uid="{00000000-0005-0000-0000-000016040000}"/>
    <cellStyle name="Standard 4 5 2 2 4" xfId="1108" xr:uid="{00000000-0005-0000-0000-000017040000}"/>
    <cellStyle name="Standard 4 5 2 3" xfId="500" xr:uid="{00000000-0005-0000-0000-000018040000}"/>
    <cellStyle name="Standard 4 5 2 4" xfId="744" xr:uid="{00000000-0005-0000-0000-000019040000}"/>
    <cellStyle name="Standard 4 5 2 5" xfId="987" xr:uid="{00000000-0005-0000-0000-00001A040000}"/>
    <cellStyle name="Standard 4 5 3" xfId="202" xr:uid="{00000000-0005-0000-0000-00001B040000}"/>
    <cellStyle name="Standard 4 5 3 2" xfId="323" xr:uid="{00000000-0005-0000-0000-00001C040000}"/>
    <cellStyle name="Standard 4 5 3 2 2" xfId="580" xr:uid="{00000000-0005-0000-0000-00001D040000}"/>
    <cellStyle name="Standard 4 5 3 2 3" xfId="824" xr:uid="{00000000-0005-0000-0000-00001E040000}"/>
    <cellStyle name="Standard 4 5 3 2 4" xfId="1067" xr:uid="{00000000-0005-0000-0000-00001F040000}"/>
    <cellStyle name="Standard 4 5 3 3" xfId="459" xr:uid="{00000000-0005-0000-0000-000020040000}"/>
    <cellStyle name="Standard 4 5 3 4" xfId="703" xr:uid="{00000000-0005-0000-0000-000021040000}"/>
    <cellStyle name="Standard 4 5 3 5" xfId="946" xr:uid="{00000000-0005-0000-0000-000022040000}"/>
    <cellStyle name="Standard 4 5 4" xfId="283" xr:uid="{00000000-0005-0000-0000-000023040000}"/>
    <cellStyle name="Standard 4 5 4 2" xfId="540" xr:uid="{00000000-0005-0000-0000-000024040000}"/>
    <cellStyle name="Standard 4 5 4 3" xfId="784" xr:uid="{00000000-0005-0000-0000-000025040000}"/>
    <cellStyle name="Standard 4 5 4 4" xfId="1027" xr:uid="{00000000-0005-0000-0000-000026040000}"/>
    <cellStyle name="Standard 4 5 5" xfId="419" xr:uid="{00000000-0005-0000-0000-000027040000}"/>
    <cellStyle name="Standard 4 5 6" xfId="663" xr:uid="{00000000-0005-0000-0000-000028040000}"/>
    <cellStyle name="Standard 4 5 7" xfId="906" xr:uid="{00000000-0005-0000-0000-000029040000}"/>
    <cellStyle name="Standard 4 6" xfId="237" xr:uid="{00000000-0005-0000-0000-00002A040000}"/>
    <cellStyle name="Standard 4 6 2" xfId="358" xr:uid="{00000000-0005-0000-0000-00002B040000}"/>
    <cellStyle name="Standard 4 6 2 2" xfId="615" xr:uid="{00000000-0005-0000-0000-00002C040000}"/>
    <cellStyle name="Standard 4 6 2 3" xfId="859" xr:uid="{00000000-0005-0000-0000-00002D040000}"/>
    <cellStyle name="Standard 4 6 2 4" xfId="1102" xr:uid="{00000000-0005-0000-0000-00002E040000}"/>
    <cellStyle name="Standard 4 6 3" xfId="494" xr:uid="{00000000-0005-0000-0000-00002F040000}"/>
    <cellStyle name="Standard 4 6 4" xfId="738" xr:uid="{00000000-0005-0000-0000-000030040000}"/>
    <cellStyle name="Standard 4 6 5" xfId="981" xr:uid="{00000000-0005-0000-0000-000031040000}"/>
    <cellStyle name="Standard 4 7" xfId="196" xr:uid="{00000000-0005-0000-0000-000032040000}"/>
    <cellStyle name="Standard 4 7 2" xfId="317" xr:uid="{00000000-0005-0000-0000-000033040000}"/>
    <cellStyle name="Standard 4 7 2 2" xfId="574" xr:uid="{00000000-0005-0000-0000-000034040000}"/>
    <cellStyle name="Standard 4 7 2 3" xfId="818" xr:uid="{00000000-0005-0000-0000-000035040000}"/>
    <cellStyle name="Standard 4 7 2 4" xfId="1061" xr:uid="{00000000-0005-0000-0000-000036040000}"/>
    <cellStyle name="Standard 4 7 3" xfId="453" xr:uid="{00000000-0005-0000-0000-000037040000}"/>
    <cellStyle name="Standard 4 7 4" xfId="697" xr:uid="{00000000-0005-0000-0000-000038040000}"/>
    <cellStyle name="Standard 4 7 5" xfId="940" xr:uid="{00000000-0005-0000-0000-000039040000}"/>
    <cellStyle name="Standard 4 8" xfId="277" xr:uid="{00000000-0005-0000-0000-00003A040000}"/>
    <cellStyle name="Standard 4 8 2" xfId="534" xr:uid="{00000000-0005-0000-0000-00003B040000}"/>
    <cellStyle name="Standard 4 8 3" xfId="778" xr:uid="{00000000-0005-0000-0000-00003C040000}"/>
    <cellStyle name="Standard 4 8 4" xfId="1021" xr:uid="{00000000-0005-0000-0000-00003D040000}"/>
    <cellStyle name="Standard 4 9" xfId="413" xr:uid="{00000000-0005-0000-0000-00003E040000}"/>
    <cellStyle name="Standard 5" xfId="203" xr:uid="{00000000-0005-0000-0000-00003F040000}"/>
    <cellStyle name="Standard 5 2" xfId="324" xr:uid="{00000000-0005-0000-0000-000040040000}"/>
    <cellStyle name="Standard 5 2 2" xfId="581" xr:uid="{00000000-0005-0000-0000-000041040000}"/>
    <cellStyle name="Standard 5 2 3" xfId="825" xr:uid="{00000000-0005-0000-0000-000042040000}"/>
    <cellStyle name="Standard 5 2 4" xfId="1068" xr:uid="{00000000-0005-0000-0000-000043040000}"/>
    <cellStyle name="Standard 5 3" xfId="460" xr:uid="{00000000-0005-0000-0000-000044040000}"/>
    <cellStyle name="Standard 5 4" xfId="704" xr:uid="{00000000-0005-0000-0000-000045040000}"/>
    <cellStyle name="Standard 5 5" xfId="947" xr:uid="{00000000-0005-0000-0000-000046040000}"/>
    <cellStyle name="Standard 6" xfId="367" xr:uid="{00000000-0005-0000-0000-000047040000}"/>
    <cellStyle name="Überschrift" xfId="130" xr:uid="{00000000-0005-0000-0000-000048040000}"/>
    <cellStyle name="Überschrift 1" xfId="131" xr:uid="{00000000-0005-0000-0000-000049040000}"/>
    <cellStyle name="Überschrift 1 2" xfId="132" xr:uid="{00000000-0005-0000-0000-00004A040000}"/>
    <cellStyle name="Überschrift 2" xfId="133" xr:uid="{00000000-0005-0000-0000-00004B040000}"/>
    <cellStyle name="Überschrift 2 2" xfId="134" xr:uid="{00000000-0005-0000-0000-00004C040000}"/>
    <cellStyle name="Überschrift 3" xfId="135" xr:uid="{00000000-0005-0000-0000-00004D040000}"/>
    <cellStyle name="Überschrift 3 2" xfId="136" xr:uid="{00000000-0005-0000-0000-00004E040000}"/>
    <cellStyle name="Überschrift 4" xfId="137" xr:uid="{00000000-0005-0000-0000-00004F040000}"/>
    <cellStyle name="Überschrift 4 2" xfId="138" xr:uid="{00000000-0005-0000-0000-000050040000}"/>
    <cellStyle name="Überschrift 5" xfId="139" xr:uid="{00000000-0005-0000-0000-000051040000}"/>
    <cellStyle name="Verknüpfte Zelle" xfId="140" xr:uid="{00000000-0005-0000-0000-000052040000}"/>
    <cellStyle name="Verknüpfte Zelle 2" xfId="141" xr:uid="{00000000-0005-0000-0000-000053040000}"/>
    <cellStyle name="Warnender Text" xfId="142" xr:uid="{00000000-0005-0000-0000-000054040000}"/>
    <cellStyle name="Warnender Text 2" xfId="143" xr:uid="{00000000-0005-0000-0000-000055040000}"/>
    <cellStyle name="Zelle überprüfen" xfId="144" xr:uid="{00000000-0005-0000-0000-000056040000}"/>
    <cellStyle name="Zelle überprüfen 2" xfId="145" xr:uid="{00000000-0005-0000-0000-000057040000}"/>
  </cellStyles>
  <dxfs count="19">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a:solidFill>
                  <a:srgbClr val="000000"/>
                </a:solidFill>
                <a:latin typeface="Calibri"/>
                <a:ea typeface="Calibri"/>
                <a:cs typeface="Calibri"/>
              </a:defRPr>
            </a:pPr>
            <a:r>
              <a:rPr lang="de-DE" sz="1800" b="1" i="0" u="none" strike="noStrike" baseline="0">
                <a:effectLst/>
                <a:latin typeface="Arial" panose="020B0604020202020204" pitchFamily="34" charset="0"/>
                <a:cs typeface="Arial" panose="020B0604020202020204" pitchFamily="34" charset="0"/>
              </a:rPr>
              <a:t>Primärenergiebedarf PEB</a:t>
            </a:r>
            <a:r>
              <a:rPr lang="de-DE" b="1">
                <a:latin typeface="Arial" panose="020B0604020202020204" pitchFamily="34" charset="0"/>
                <a:cs typeface="Arial" panose="020B0604020202020204" pitchFamily="34" charset="0"/>
              </a:rPr>
              <a:t> </a:t>
            </a:r>
            <a:r>
              <a:rPr lang="de-DE">
                <a:latin typeface="Arial"/>
                <a:cs typeface="Arial"/>
              </a:rPr>
              <a:t>Neubau</a:t>
            </a:r>
            <a:endParaRPr lang="de-DE"/>
          </a:p>
        </c:rich>
      </c:tx>
      <c:overlay val="0"/>
    </c:title>
    <c:autoTitleDeleted val="0"/>
    <c:plotArea>
      <c:layout/>
      <c:lineChart>
        <c:grouping val="standard"/>
        <c:varyColors val="0"/>
        <c:ser>
          <c:idx val="0"/>
          <c:order val="0"/>
          <c:tx>
            <c:strRef>
              <c:f>'B1 Graphik'!$I$74:$J$74</c:f>
              <c:strCache>
                <c:ptCount val="1"/>
                <c:pt idx="0">
                  <c:v>Neubau</c:v>
                </c:pt>
              </c:strCache>
            </c:strRef>
          </c:tx>
          <c:spPr>
            <a:ln>
              <a:solidFill>
                <a:schemeClr val="accent6">
                  <a:lumMod val="75000"/>
                </a:schemeClr>
              </a:solidFill>
            </a:ln>
          </c:spPr>
          <c:marker>
            <c:symbol val="none"/>
          </c:marker>
          <c:cat>
            <c:numRef>
              <c:f>'B1 Graphik'!$I$76:$I$118</c:f>
              <c:numCache>
                <c:formatCode>0</c:formatCode>
                <c:ptCount val="43"/>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numCache>
            </c:numRef>
          </c:cat>
          <c:val>
            <c:numRef>
              <c:f>'B1 Graphik'!$J$76:$J$118</c:f>
              <c:numCache>
                <c:formatCode>0</c:formatCode>
                <c:ptCount val="43"/>
                <c:pt idx="0">
                  <c:v>120</c:v>
                </c:pt>
                <c:pt idx="1">
                  <c:v>120</c:v>
                </c:pt>
                <c:pt idx="2">
                  <c:v>120</c:v>
                </c:pt>
                <c:pt idx="3">
                  <c:v>120</c:v>
                </c:pt>
                <c:pt idx="4">
                  <c:v>120</c:v>
                </c:pt>
                <c:pt idx="5">
                  <c:v>120</c:v>
                </c:pt>
                <c:pt idx="6">
                  <c:v>120</c:v>
                </c:pt>
                <c:pt idx="7">
                  <c:v>120</c:v>
                </c:pt>
                <c:pt idx="8">
                  <c:v>120</c:v>
                </c:pt>
                <c:pt idx="9">
                  <c:v>120</c:v>
                </c:pt>
                <c:pt idx="10">
                  <c:v>120</c:v>
                </c:pt>
                <c:pt idx="11">
                  <c:v>120</c:v>
                </c:pt>
                <c:pt idx="12">
                  <c:v>120</c:v>
                </c:pt>
                <c:pt idx="13">
                  <c:v>115</c:v>
                </c:pt>
                <c:pt idx="14">
                  <c:v>110</c:v>
                </c:pt>
                <c:pt idx="15">
                  <c:v>105</c:v>
                </c:pt>
                <c:pt idx="16">
                  <c:v>100</c:v>
                </c:pt>
                <c:pt idx="17">
                  <c:v>95</c:v>
                </c:pt>
                <c:pt idx="18">
                  <c:v>90</c:v>
                </c:pt>
                <c:pt idx="19">
                  <c:v>85</c:v>
                </c:pt>
                <c:pt idx="20">
                  <c:v>80</c:v>
                </c:pt>
                <c:pt idx="21">
                  <c:v>75</c:v>
                </c:pt>
                <c:pt idx="22">
                  <c:v>70</c:v>
                </c:pt>
                <c:pt idx="23">
                  <c:v>65</c:v>
                </c:pt>
                <c:pt idx="24">
                  <c:v>60</c:v>
                </c:pt>
                <c:pt idx="25">
                  <c:v>55</c:v>
                </c:pt>
                <c:pt idx="26">
                  <c:v>50</c:v>
                </c:pt>
                <c:pt idx="27">
                  <c:v>45</c:v>
                </c:pt>
                <c:pt idx="28">
                  <c:v>40</c:v>
                </c:pt>
                <c:pt idx="29">
                  <c:v>35</c:v>
                </c:pt>
                <c:pt idx="30">
                  <c:v>30</c:v>
                </c:pt>
                <c:pt idx="31">
                  <c:v>25</c:v>
                </c:pt>
                <c:pt idx="32">
                  <c:v>20</c:v>
                </c:pt>
                <c:pt idx="33">
                  <c:v>15</c:v>
                </c:pt>
                <c:pt idx="34">
                  <c:v>10</c:v>
                </c:pt>
                <c:pt idx="35">
                  <c:v>5</c:v>
                </c:pt>
                <c:pt idx="36">
                  <c:v>0</c:v>
                </c:pt>
                <c:pt idx="37">
                  <c:v>0</c:v>
                </c:pt>
                <c:pt idx="38">
                  <c:v>0</c:v>
                </c:pt>
                <c:pt idx="39">
                  <c:v>0</c:v>
                </c:pt>
                <c:pt idx="40">
                  <c:v>0</c:v>
                </c:pt>
                <c:pt idx="41">
                  <c:v>0</c:v>
                </c:pt>
                <c:pt idx="42">
                  <c:v>0</c:v>
                </c:pt>
              </c:numCache>
            </c:numRef>
          </c:val>
          <c:smooth val="0"/>
          <c:extLst>
            <c:ext xmlns:c16="http://schemas.microsoft.com/office/drawing/2014/chart" uri="{C3380CC4-5D6E-409C-BE32-E72D297353CC}">
              <c16:uniqueId val="{00000001-7CA4-4F9A-9444-8EF8A4B16654}"/>
            </c:ext>
          </c:extLst>
        </c:ser>
        <c:dLbls>
          <c:showLegendKey val="0"/>
          <c:showVal val="0"/>
          <c:showCatName val="0"/>
          <c:showSerName val="0"/>
          <c:showPercent val="0"/>
          <c:showBubbleSize val="0"/>
        </c:dLbls>
        <c:smooth val="0"/>
        <c:axId val="103371008"/>
        <c:axId val="103371792"/>
      </c:lineChart>
      <c:catAx>
        <c:axId val="103371008"/>
        <c:scaling>
          <c:orientation val="minMax"/>
        </c:scaling>
        <c:delete val="0"/>
        <c:axPos val="b"/>
        <c:title>
          <c:tx>
            <c:rich>
              <a:bodyPr/>
              <a:lstStyle/>
              <a:p>
                <a:pPr>
                  <a:defRPr sz="1000" b="1" i="0" u="none" strike="noStrike">
                    <a:solidFill>
                      <a:srgbClr val="000000"/>
                    </a:solidFill>
                    <a:latin typeface="Calibri"/>
                    <a:ea typeface="Calibri"/>
                    <a:cs typeface="Calibri"/>
                  </a:defRPr>
                </a:pPr>
                <a:r>
                  <a:rPr lang="de-DE" sz="1200" b="1" i="0" u="none" strike="noStrike" baseline="0">
                    <a:effectLst/>
                    <a:latin typeface="Arial" panose="020B0604020202020204" pitchFamily="34" charset="0"/>
                    <a:cs typeface="Arial" panose="020B0604020202020204" pitchFamily="34" charset="0"/>
                  </a:rPr>
                  <a:t>PEB</a:t>
                </a:r>
                <a:r>
                  <a:rPr lang="de-DE">
                    <a:latin typeface="Arial"/>
                    <a:cs typeface="Arial"/>
                  </a:rPr>
                  <a:t> in</a:t>
                </a:r>
                <a:r>
                  <a:rPr lang="de-DE" baseline="0">
                    <a:latin typeface="Arial"/>
                    <a:cs typeface="Arial"/>
                  </a:rPr>
                  <a:t> </a:t>
                </a:r>
                <a:r>
                  <a:rPr lang="de-DE">
                    <a:latin typeface="Arial"/>
                    <a:cs typeface="Arial"/>
                  </a:rPr>
                  <a:t>kWh/(m²a)</a:t>
                </a:r>
                <a:endParaRPr lang="de-DE"/>
              </a:p>
            </c:rich>
          </c:tx>
          <c:overlay val="0"/>
        </c:title>
        <c:numFmt formatCode="0" sourceLinked="1"/>
        <c:majorTickMark val="out"/>
        <c:minorTickMark val="none"/>
        <c:tickLblPos val="nextTo"/>
        <c:txPr>
          <a:bodyPr rot="0" vert="horz" anchor="ctr" anchorCtr="0"/>
          <a:lstStyle/>
          <a:p>
            <a:pPr>
              <a:defRPr sz="1000" b="0" i="0" u="none" strike="noStrike">
                <a:solidFill>
                  <a:srgbClr val="000000"/>
                </a:solidFill>
                <a:latin typeface="Calibri"/>
                <a:ea typeface="Calibri"/>
                <a:cs typeface="Calibri"/>
              </a:defRPr>
            </a:pPr>
            <a:endParaRPr lang="de-DE"/>
          </a:p>
        </c:txPr>
        <c:crossAx val="103371792"/>
        <c:crosses val="autoZero"/>
        <c:auto val="0"/>
        <c:lblAlgn val="ctr"/>
        <c:lblOffset val="100"/>
        <c:tickLblSkip val="4"/>
        <c:tickMarkSkip val="2"/>
        <c:noMultiLvlLbl val="0"/>
      </c:catAx>
      <c:valAx>
        <c:axId val="103371792"/>
        <c:scaling>
          <c:orientation val="minMax"/>
        </c:scaling>
        <c:delete val="0"/>
        <c:axPos val="l"/>
        <c:majorGridlines/>
        <c:title>
          <c:tx>
            <c:rich>
              <a:bodyPr rot="-5400000" vert="horz"/>
              <a:lstStyle/>
              <a:p>
                <a:pPr>
                  <a:defRPr/>
                </a:pPr>
                <a:r>
                  <a:rPr lang="en-US" b="1">
                    <a:latin typeface="Arial"/>
                    <a:cs typeface="Arial"/>
                  </a:rPr>
                  <a:t>Punktevergabe</a:t>
                </a:r>
                <a:endParaRPr lang="en-US"/>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71008"/>
        <c:crosses val="autoZero"/>
        <c:crossBetween val="midCat"/>
        <c:majorUnit val="15"/>
        <c:minorUnit val="5"/>
      </c:valAx>
    </c:plotArea>
    <c:legend>
      <c:legendPos val="r"/>
      <c:overlay val="0"/>
      <c:txPr>
        <a:bodyPr/>
        <a:lstStyle/>
        <a:p>
          <a:pPr>
            <a:defRPr sz="900" b="0" i="0" u="none" strike="noStrike">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a:solidFill>
                  <a:srgbClr val="000000"/>
                </a:solidFill>
                <a:latin typeface="Calibri"/>
                <a:ea typeface="Calibri"/>
                <a:cs typeface="Calibri"/>
              </a:defRPr>
            </a:pPr>
            <a:r>
              <a:rPr lang="de-DE" sz="1800" b="1" i="0" u="none" strike="noStrike" baseline="0">
                <a:effectLst/>
                <a:latin typeface="Arial" panose="020B0604020202020204" pitchFamily="34" charset="0"/>
                <a:cs typeface="Arial" panose="020B0604020202020204" pitchFamily="34" charset="0"/>
              </a:rPr>
              <a:t>Emissionen CO</a:t>
            </a:r>
            <a:r>
              <a:rPr lang="de-DE" sz="1800" b="1" i="0" u="none" strike="noStrike" baseline="-25000">
                <a:effectLst/>
                <a:latin typeface="Arial" panose="020B0604020202020204" pitchFamily="34" charset="0"/>
                <a:cs typeface="Arial" panose="020B0604020202020204" pitchFamily="34" charset="0"/>
              </a:rPr>
              <a:t>2</a:t>
            </a:r>
            <a:r>
              <a:rPr lang="de-DE" sz="1800" b="1" i="0" u="none" strike="noStrike" baseline="0">
                <a:effectLst/>
                <a:latin typeface="Arial" panose="020B0604020202020204" pitchFamily="34" charset="0"/>
                <a:cs typeface="Arial" panose="020B0604020202020204" pitchFamily="34" charset="0"/>
              </a:rPr>
              <a:t>-Äquivalente</a:t>
            </a:r>
            <a:r>
              <a:rPr lang="de-DE" b="1">
                <a:latin typeface="Arial" panose="020B0604020202020204" pitchFamily="34" charset="0"/>
                <a:cs typeface="Arial" panose="020B0604020202020204" pitchFamily="34" charset="0"/>
              </a:rPr>
              <a:t> </a:t>
            </a:r>
            <a:r>
              <a:rPr lang="de-DE">
                <a:latin typeface="Arial"/>
                <a:cs typeface="Arial"/>
              </a:rPr>
              <a:t>Neubau</a:t>
            </a:r>
            <a:endParaRPr lang="de-DE"/>
          </a:p>
        </c:rich>
      </c:tx>
      <c:overlay val="0"/>
    </c:title>
    <c:autoTitleDeleted val="0"/>
    <c:plotArea>
      <c:layout/>
      <c:lineChart>
        <c:grouping val="standard"/>
        <c:varyColors val="0"/>
        <c:ser>
          <c:idx val="0"/>
          <c:order val="0"/>
          <c:tx>
            <c:strRef>
              <c:f>'B1 Graphik'!$L$74:$M$74</c:f>
              <c:strCache>
                <c:ptCount val="1"/>
                <c:pt idx="0">
                  <c:v>Neubau</c:v>
                </c:pt>
              </c:strCache>
            </c:strRef>
          </c:tx>
          <c:spPr>
            <a:prstGeom prst="rect">
              <a:avLst/>
            </a:prstGeom>
            <a:ln w="28575">
              <a:solidFill>
                <a:srgbClr val="C00000"/>
              </a:solidFill>
            </a:ln>
          </c:spPr>
          <c:marker>
            <c:symbol val="none"/>
          </c:marker>
          <c:cat>
            <c:numRef>
              <c:f>'B1 Graphik'!$L$76:$L$176</c:f>
              <c:numCache>
                <c:formatCode>0</c:formatCode>
                <c:ptCount val="10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numCache>
            </c:numRef>
          </c:cat>
          <c:val>
            <c:numRef>
              <c:f>'B1 Graphik'!$M$76:$M$176</c:f>
              <c:numCache>
                <c:formatCode>0</c:formatCode>
                <c:ptCount val="101"/>
                <c:pt idx="0">
                  <c:v>135</c:v>
                </c:pt>
                <c:pt idx="1">
                  <c:v>135</c:v>
                </c:pt>
                <c:pt idx="2">
                  <c:v>135</c:v>
                </c:pt>
                <c:pt idx="3">
                  <c:v>135</c:v>
                </c:pt>
                <c:pt idx="4">
                  <c:v>135</c:v>
                </c:pt>
                <c:pt idx="5">
                  <c:v>135</c:v>
                </c:pt>
                <c:pt idx="6">
                  <c:v>135</c:v>
                </c:pt>
                <c:pt idx="7">
                  <c:v>135</c:v>
                </c:pt>
                <c:pt idx="8">
                  <c:v>135</c:v>
                </c:pt>
                <c:pt idx="9">
                  <c:v>135</c:v>
                </c:pt>
                <c:pt idx="10">
                  <c:v>135</c:v>
                </c:pt>
                <c:pt idx="11">
                  <c:v>135</c:v>
                </c:pt>
                <c:pt idx="12">
                  <c:v>135</c:v>
                </c:pt>
                <c:pt idx="13">
                  <c:v>135</c:v>
                </c:pt>
                <c:pt idx="14">
                  <c:v>135</c:v>
                </c:pt>
                <c:pt idx="15">
                  <c:v>135</c:v>
                </c:pt>
                <c:pt idx="16">
                  <c:v>135</c:v>
                </c:pt>
                <c:pt idx="17">
                  <c:v>135</c:v>
                </c:pt>
                <c:pt idx="18">
                  <c:v>135</c:v>
                </c:pt>
                <c:pt idx="19">
                  <c:v>135</c:v>
                </c:pt>
                <c:pt idx="20">
                  <c:v>135</c:v>
                </c:pt>
                <c:pt idx="21">
                  <c:v>135</c:v>
                </c:pt>
                <c:pt idx="22">
                  <c:v>135</c:v>
                </c:pt>
                <c:pt idx="23">
                  <c:v>135</c:v>
                </c:pt>
                <c:pt idx="24">
                  <c:v>135</c:v>
                </c:pt>
                <c:pt idx="25">
                  <c:v>135</c:v>
                </c:pt>
                <c:pt idx="26">
                  <c:v>135</c:v>
                </c:pt>
                <c:pt idx="27">
                  <c:v>135</c:v>
                </c:pt>
                <c:pt idx="28">
                  <c:v>135</c:v>
                </c:pt>
                <c:pt idx="29">
                  <c:v>135</c:v>
                </c:pt>
                <c:pt idx="30">
                  <c:v>135</c:v>
                </c:pt>
                <c:pt idx="31">
                  <c:v>135</c:v>
                </c:pt>
                <c:pt idx="32">
                  <c:v>135</c:v>
                </c:pt>
                <c:pt idx="33">
                  <c:v>135</c:v>
                </c:pt>
                <c:pt idx="34">
                  <c:v>135</c:v>
                </c:pt>
                <c:pt idx="35">
                  <c:v>135</c:v>
                </c:pt>
                <c:pt idx="36">
                  <c:v>135</c:v>
                </c:pt>
                <c:pt idx="37">
                  <c:v>135</c:v>
                </c:pt>
                <c:pt idx="38">
                  <c:v>135</c:v>
                </c:pt>
                <c:pt idx="39">
                  <c:v>135</c:v>
                </c:pt>
                <c:pt idx="40">
                  <c:v>135</c:v>
                </c:pt>
                <c:pt idx="41">
                  <c:v>135</c:v>
                </c:pt>
                <c:pt idx="42">
                  <c:v>135</c:v>
                </c:pt>
                <c:pt idx="43">
                  <c:v>135</c:v>
                </c:pt>
                <c:pt idx="44">
                  <c:v>135</c:v>
                </c:pt>
                <c:pt idx="45">
                  <c:v>135</c:v>
                </c:pt>
                <c:pt idx="46">
                  <c:v>135</c:v>
                </c:pt>
                <c:pt idx="47">
                  <c:v>135</c:v>
                </c:pt>
                <c:pt idx="48">
                  <c:v>135</c:v>
                </c:pt>
                <c:pt idx="49">
                  <c:v>135</c:v>
                </c:pt>
                <c:pt idx="50">
                  <c:v>135</c:v>
                </c:pt>
                <c:pt idx="51">
                  <c:v>128.25</c:v>
                </c:pt>
                <c:pt idx="52">
                  <c:v>121.5</c:v>
                </c:pt>
                <c:pt idx="53">
                  <c:v>114.75</c:v>
                </c:pt>
                <c:pt idx="54">
                  <c:v>108</c:v>
                </c:pt>
                <c:pt idx="55">
                  <c:v>101.25</c:v>
                </c:pt>
                <c:pt idx="56">
                  <c:v>94.5</c:v>
                </c:pt>
                <c:pt idx="57">
                  <c:v>87.75</c:v>
                </c:pt>
                <c:pt idx="58">
                  <c:v>81</c:v>
                </c:pt>
                <c:pt idx="59">
                  <c:v>74.25</c:v>
                </c:pt>
                <c:pt idx="60">
                  <c:v>67.5</c:v>
                </c:pt>
                <c:pt idx="61">
                  <c:v>60.75</c:v>
                </c:pt>
                <c:pt idx="62">
                  <c:v>54</c:v>
                </c:pt>
                <c:pt idx="63">
                  <c:v>47.25</c:v>
                </c:pt>
                <c:pt idx="64">
                  <c:v>40.5</c:v>
                </c:pt>
                <c:pt idx="65">
                  <c:v>33.75</c:v>
                </c:pt>
                <c:pt idx="66">
                  <c:v>27</c:v>
                </c:pt>
                <c:pt idx="67">
                  <c:v>20.25</c:v>
                </c:pt>
                <c:pt idx="68">
                  <c:v>13.5</c:v>
                </c:pt>
                <c:pt idx="69">
                  <c:v>6.75</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numCache>
            </c:numRef>
          </c:val>
          <c:smooth val="0"/>
          <c:extLst>
            <c:ext xmlns:c16="http://schemas.microsoft.com/office/drawing/2014/chart" uri="{C3380CC4-5D6E-409C-BE32-E72D297353CC}">
              <c16:uniqueId val="{00000000-B662-4C0A-A7E1-23FA5A4AAB86}"/>
            </c:ext>
          </c:extLst>
        </c:ser>
        <c:ser>
          <c:idx val="1"/>
          <c:order val="1"/>
          <c:tx>
            <c:strRef>
              <c:f>'B1 Graphik'!$Z$74:$AA$74</c:f>
              <c:strCache>
                <c:ptCount val="1"/>
                <c:pt idx="0">
                  <c:v>Sanierung</c:v>
                </c:pt>
              </c:strCache>
            </c:strRef>
          </c:tx>
          <c:spPr>
            <a:ln>
              <a:solidFill>
                <a:srgbClr val="00B0F0"/>
              </a:solidFill>
            </a:ln>
          </c:spPr>
          <c:marker>
            <c:symbol val="none"/>
          </c:marker>
          <c:val>
            <c:numRef>
              <c:f>'B1 Graphik'!$AA$76:$AA$176</c:f>
              <c:numCache>
                <c:formatCode>0</c:formatCode>
                <c:ptCount val="101"/>
                <c:pt idx="0">
                  <c:v>135</c:v>
                </c:pt>
                <c:pt idx="1">
                  <c:v>135</c:v>
                </c:pt>
                <c:pt idx="2">
                  <c:v>135</c:v>
                </c:pt>
                <c:pt idx="3">
                  <c:v>135</c:v>
                </c:pt>
                <c:pt idx="4">
                  <c:v>135</c:v>
                </c:pt>
                <c:pt idx="5">
                  <c:v>135</c:v>
                </c:pt>
                <c:pt idx="6">
                  <c:v>135</c:v>
                </c:pt>
                <c:pt idx="7">
                  <c:v>135</c:v>
                </c:pt>
                <c:pt idx="8">
                  <c:v>135</c:v>
                </c:pt>
                <c:pt idx="9">
                  <c:v>135</c:v>
                </c:pt>
                <c:pt idx="10">
                  <c:v>135</c:v>
                </c:pt>
                <c:pt idx="11">
                  <c:v>135</c:v>
                </c:pt>
                <c:pt idx="12">
                  <c:v>135</c:v>
                </c:pt>
                <c:pt idx="13">
                  <c:v>135</c:v>
                </c:pt>
                <c:pt idx="14">
                  <c:v>135</c:v>
                </c:pt>
                <c:pt idx="15">
                  <c:v>135</c:v>
                </c:pt>
                <c:pt idx="16">
                  <c:v>135</c:v>
                </c:pt>
                <c:pt idx="17">
                  <c:v>135</c:v>
                </c:pt>
                <c:pt idx="18">
                  <c:v>135</c:v>
                </c:pt>
                <c:pt idx="19">
                  <c:v>135</c:v>
                </c:pt>
                <c:pt idx="20">
                  <c:v>135</c:v>
                </c:pt>
                <c:pt idx="21">
                  <c:v>135</c:v>
                </c:pt>
                <c:pt idx="22">
                  <c:v>135</c:v>
                </c:pt>
                <c:pt idx="23">
                  <c:v>135</c:v>
                </c:pt>
                <c:pt idx="24">
                  <c:v>135</c:v>
                </c:pt>
                <c:pt idx="25">
                  <c:v>135</c:v>
                </c:pt>
                <c:pt idx="26">
                  <c:v>135</c:v>
                </c:pt>
                <c:pt idx="27">
                  <c:v>135</c:v>
                </c:pt>
                <c:pt idx="28">
                  <c:v>135</c:v>
                </c:pt>
                <c:pt idx="29">
                  <c:v>135</c:v>
                </c:pt>
                <c:pt idx="30">
                  <c:v>135</c:v>
                </c:pt>
                <c:pt idx="31">
                  <c:v>135</c:v>
                </c:pt>
                <c:pt idx="32">
                  <c:v>135</c:v>
                </c:pt>
                <c:pt idx="33">
                  <c:v>135</c:v>
                </c:pt>
                <c:pt idx="34">
                  <c:v>135</c:v>
                </c:pt>
                <c:pt idx="35">
                  <c:v>135</c:v>
                </c:pt>
                <c:pt idx="36">
                  <c:v>135</c:v>
                </c:pt>
                <c:pt idx="37">
                  <c:v>135</c:v>
                </c:pt>
                <c:pt idx="38">
                  <c:v>135</c:v>
                </c:pt>
                <c:pt idx="39">
                  <c:v>135</c:v>
                </c:pt>
                <c:pt idx="40">
                  <c:v>135</c:v>
                </c:pt>
                <c:pt idx="41">
                  <c:v>135</c:v>
                </c:pt>
                <c:pt idx="42">
                  <c:v>135</c:v>
                </c:pt>
                <c:pt idx="43">
                  <c:v>135</c:v>
                </c:pt>
                <c:pt idx="44">
                  <c:v>135</c:v>
                </c:pt>
                <c:pt idx="45">
                  <c:v>135</c:v>
                </c:pt>
                <c:pt idx="46">
                  <c:v>135</c:v>
                </c:pt>
                <c:pt idx="47">
                  <c:v>135</c:v>
                </c:pt>
                <c:pt idx="48">
                  <c:v>135</c:v>
                </c:pt>
                <c:pt idx="49">
                  <c:v>135</c:v>
                </c:pt>
                <c:pt idx="50">
                  <c:v>135</c:v>
                </c:pt>
                <c:pt idx="51">
                  <c:v>135</c:v>
                </c:pt>
                <c:pt idx="52">
                  <c:v>135</c:v>
                </c:pt>
                <c:pt idx="53">
                  <c:v>135</c:v>
                </c:pt>
                <c:pt idx="54">
                  <c:v>135</c:v>
                </c:pt>
                <c:pt idx="55">
                  <c:v>135</c:v>
                </c:pt>
                <c:pt idx="56">
                  <c:v>135</c:v>
                </c:pt>
                <c:pt idx="57">
                  <c:v>135</c:v>
                </c:pt>
                <c:pt idx="58">
                  <c:v>130.90909090909091</c:v>
                </c:pt>
                <c:pt idx="59">
                  <c:v>126.81818181818181</c:v>
                </c:pt>
                <c:pt idx="60">
                  <c:v>122.72727272727272</c:v>
                </c:pt>
                <c:pt idx="61">
                  <c:v>118.63636363636364</c:v>
                </c:pt>
                <c:pt idx="62">
                  <c:v>114.54545454545455</c:v>
                </c:pt>
                <c:pt idx="63">
                  <c:v>110.45454545454545</c:v>
                </c:pt>
                <c:pt idx="64">
                  <c:v>106.36363636363636</c:v>
                </c:pt>
                <c:pt idx="65">
                  <c:v>102.27272727272727</c:v>
                </c:pt>
                <c:pt idx="66">
                  <c:v>98.181818181818187</c:v>
                </c:pt>
                <c:pt idx="67">
                  <c:v>94.090909090909093</c:v>
                </c:pt>
                <c:pt idx="68">
                  <c:v>90</c:v>
                </c:pt>
                <c:pt idx="69">
                  <c:v>85.909090909090907</c:v>
                </c:pt>
                <c:pt idx="70">
                  <c:v>81.818181818181813</c:v>
                </c:pt>
                <c:pt idx="71">
                  <c:v>77.72727272727272</c:v>
                </c:pt>
                <c:pt idx="72">
                  <c:v>73.63636363636364</c:v>
                </c:pt>
                <c:pt idx="73">
                  <c:v>69.545454545454547</c:v>
                </c:pt>
                <c:pt idx="74">
                  <c:v>65.454545454545453</c:v>
                </c:pt>
                <c:pt idx="75">
                  <c:v>61.36363636363636</c:v>
                </c:pt>
                <c:pt idx="76">
                  <c:v>57.272727272727273</c:v>
                </c:pt>
                <c:pt idx="77">
                  <c:v>53.18181818181818</c:v>
                </c:pt>
                <c:pt idx="78">
                  <c:v>49.090909090909093</c:v>
                </c:pt>
                <c:pt idx="79">
                  <c:v>45</c:v>
                </c:pt>
                <c:pt idx="80">
                  <c:v>40.909090909090907</c:v>
                </c:pt>
                <c:pt idx="81">
                  <c:v>36.81818181818182</c:v>
                </c:pt>
                <c:pt idx="82">
                  <c:v>32.727272727272727</c:v>
                </c:pt>
                <c:pt idx="83">
                  <c:v>28.636363636363637</c:v>
                </c:pt>
                <c:pt idx="84">
                  <c:v>24.545454545454547</c:v>
                </c:pt>
                <c:pt idx="85">
                  <c:v>20.454545454545453</c:v>
                </c:pt>
                <c:pt idx="86">
                  <c:v>16.363636363636363</c:v>
                </c:pt>
                <c:pt idx="87">
                  <c:v>12.272727272727273</c:v>
                </c:pt>
                <c:pt idx="88">
                  <c:v>8.1818181818181817</c:v>
                </c:pt>
                <c:pt idx="89">
                  <c:v>4.0909090909090908</c:v>
                </c:pt>
                <c:pt idx="90">
                  <c:v>0</c:v>
                </c:pt>
                <c:pt idx="91">
                  <c:v>0</c:v>
                </c:pt>
                <c:pt idx="92">
                  <c:v>0</c:v>
                </c:pt>
                <c:pt idx="93">
                  <c:v>0</c:v>
                </c:pt>
                <c:pt idx="94">
                  <c:v>0</c:v>
                </c:pt>
                <c:pt idx="95">
                  <c:v>0</c:v>
                </c:pt>
                <c:pt idx="96">
                  <c:v>0</c:v>
                </c:pt>
                <c:pt idx="97">
                  <c:v>0</c:v>
                </c:pt>
                <c:pt idx="98">
                  <c:v>0</c:v>
                </c:pt>
                <c:pt idx="99">
                  <c:v>0</c:v>
                </c:pt>
                <c:pt idx="100">
                  <c:v>0</c:v>
                </c:pt>
              </c:numCache>
            </c:numRef>
          </c:val>
          <c:smooth val="0"/>
          <c:extLst>
            <c:ext xmlns:c16="http://schemas.microsoft.com/office/drawing/2014/chart" uri="{C3380CC4-5D6E-409C-BE32-E72D297353CC}">
              <c16:uniqueId val="{00000001-B662-4C0A-A7E1-23FA5A4AAB86}"/>
            </c:ext>
          </c:extLst>
        </c:ser>
        <c:dLbls>
          <c:showLegendKey val="0"/>
          <c:showVal val="0"/>
          <c:showCatName val="0"/>
          <c:showSerName val="0"/>
          <c:showPercent val="0"/>
          <c:showBubbleSize val="0"/>
        </c:dLbls>
        <c:smooth val="0"/>
        <c:axId val="103372184"/>
        <c:axId val="103364736"/>
      </c:lineChart>
      <c:catAx>
        <c:axId val="103372184"/>
        <c:scaling>
          <c:orientation val="minMax"/>
        </c:scaling>
        <c:delete val="0"/>
        <c:axPos val="b"/>
        <c:title>
          <c:tx>
            <c:rich>
              <a:bodyPr/>
              <a:lstStyle/>
              <a:p>
                <a:pPr>
                  <a:defRPr sz="1000" b="1" i="0" u="none" strike="noStrike">
                    <a:solidFill>
                      <a:srgbClr val="000000"/>
                    </a:solidFill>
                    <a:latin typeface="Calibri"/>
                    <a:ea typeface="Calibri"/>
                    <a:cs typeface="Calibri"/>
                  </a:defRPr>
                </a:pPr>
                <a:r>
                  <a:rPr lang="de-DE">
                    <a:latin typeface="Arial"/>
                    <a:cs typeface="Arial"/>
                  </a:rPr>
                  <a:t>CO</a:t>
                </a:r>
                <a:r>
                  <a:rPr lang="de-DE" baseline="-25000">
                    <a:latin typeface="Arial"/>
                    <a:cs typeface="Arial"/>
                  </a:rPr>
                  <a:t>2</a:t>
                </a:r>
                <a:r>
                  <a:rPr lang="de-DE" baseline="0">
                    <a:latin typeface="Arial"/>
                    <a:cs typeface="Arial"/>
                  </a:rPr>
                  <a:t>-Äquivalente</a:t>
                </a:r>
                <a:r>
                  <a:rPr lang="de-DE">
                    <a:latin typeface="Arial"/>
                    <a:cs typeface="Arial"/>
                  </a:rPr>
                  <a:t> in</a:t>
                </a:r>
                <a:r>
                  <a:rPr lang="de-DE" baseline="0">
                    <a:latin typeface="Arial"/>
                    <a:cs typeface="Arial"/>
                  </a:rPr>
                  <a:t> </a:t>
                </a:r>
                <a:r>
                  <a:rPr lang="de-DE">
                    <a:latin typeface="Arial"/>
                    <a:cs typeface="Arial"/>
                  </a:rPr>
                  <a:t>kg/(m²a)</a:t>
                </a:r>
                <a:endParaRPr lang="de-DE"/>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64736"/>
        <c:crosses val="autoZero"/>
        <c:auto val="1"/>
        <c:lblAlgn val="ctr"/>
        <c:lblOffset val="100"/>
        <c:tickLblSkip val="5"/>
        <c:tickMarkSkip val="5"/>
        <c:noMultiLvlLbl val="0"/>
      </c:catAx>
      <c:valAx>
        <c:axId val="103364736"/>
        <c:scaling>
          <c:orientation val="minMax"/>
        </c:scaling>
        <c:delete val="0"/>
        <c:axPos val="l"/>
        <c:majorGridlines/>
        <c:title>
          <c:tx>
            <c:rich>
              <a:bodyPr rot="-5400000" vert="horz"/>
              <a:lstStyle/>
              <a:p>
                <a:pPr>
                  <a:defRPr/>
                </a:pPr>
                <a:r>
                  <a:rPr lang="en-US" b="1">
                    <a:latin typeface="Arial"/>
                    <a:cs typeface="Arial"/>
                  </a:rPr>
                  <a:t>Punktevergabe</a:t>
                </a:r>
                <a:endParaRPr lang="en-US"/>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72184"/>
        <c:crosses val="autoZero"/>
        <c:crossBetween val="midCat"/>
        <c:majorUnit val="15"/>
        <c:minorUnit val="5"/>
      </c:valAx>
    </c:plotArea>
    <c:legend>
      <c:legendPos val="r"/>
      <c:overlay val="0"/>
      <c:txPr>
        <a:bodyPr/>
        <a:lstStyle/>
        <a:p>
          <a:pPr>
            <a:defRPr sz="900" b="0" i="0" u="none" strike="noStrike">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a:solidFill>
            <a:srgbClr val="000000"/>
          </a:solidFill>
          <a:latin typeface="Calibri"/>
          <a:ea typeface="Calibri"/>
          <a:cs typeface="Calibri"/>
        </a:defRPr>
      </a:pPr>
      <a:endParaRPr lang="de-DE"/>
    </a:p>
  </c:txPr>
  <c:printSettings>
    <c:headerFooter/>
    <c:pageMargins b="0.78740157499999996" l="0.7000000000000004" r="0.7000000000000004" t="0.78740157499999996"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800" b="1" i="0" u="none" strike="noStrike" baseline="0">
                <a:effectLst/>
                <a:latin typeface="Arial" panose="020B0604020202020204" pitchFamily="34" charset="0"/>
                <a:cs typeface="Arial" panose="020B0604020202020204" pitchFamily="34" charset="0"/>
              </a:rPr>
              <a:t>Heizwärmebedarf HWB</a:t>
            </a:r>
            <a:r>
              <a:rPr lang="de-DE" sz="1800" b="1" i="0" u="none" strike="noStrike" baseline="0">
                <a:latin typeface="Arial" panose="020B0604020202020204" pitchFamily="34" charset="0"/>
                <a:cs typeface="Arial" panose="020B0604020202020204" pitchFamily="34" charset="0"/>
              </a:rPr>
              <a:t> </a:t>
            </a:r>
            <a:r>
              <a:rPr lang="en-US">
                <a:latin typeface="Arial"/>
                <a:cs typeface="Arial"/>
              </a:rPr>
              <a:t>Neubau</a:t>
            </a:r>
            <a:endParaRPr lang="en-US"/>
          </a:p>
        </c:rich>
      </c:tx>
      <c:overlay val="0"/>
    </c:title>
    <c:autoTitleDeleted val="0"/>
    <c:plotArea>
      <c:layout/>
      <c:lineChart>
        <c:grouping val="standard"/>
        <c:varyColors val="0"/>
        <c:ser>
          <c:idx val="1"/>
          <c:order val="0"/>
          <c:tx>
            <c:strRef>
              <c:f>'B1 Graphik'!$C$74:$D$74</c:f>
              <c:strCache>
                <c:ptCount val="1"/>
                <c:pt idx="0">
                  <c:v>Neubau</c:v>
                </c:pt>
              </c:strCache>
            </c:strRef>
          </c:tx>
          <c:spPr>
            <a:ln w="28575">
              <a:solidFill>
                <a:srgbClr val="C00000"/>
              </a:solidFill>
            </a:ln>
          </c:spPr>
          <c:marker>
            <c:symbol val="none"/>
          </c:marker>
          <c:cat>
            <c:numRef>
              <c:f>'B1 Graphik'!$C$76:$C$102</c:f>
              <c:numCache>
                <c:formatCode>0</c:formatCode>
                <c:ptCount val="27"/>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46</c:v>
                </c:pt>
                <c:pt idx="20">
                  <c:v>47</c:v>
                </c:pt>
                <c:pt idx="21">
                  <c:v>48</c:v>
                </c:pt>
                <c:pt idx="22">
                  <c:v>49</c:v>
                </c:pt>
                <c:pt idx="23">
                  <c:v>50</c:v>
                </c:pt>
                <c:pt idx="24">
                  <c:v>51</c:v>
                </c:pt>
                <c:pt idx="25">
                  <c:v>52</c:v>
                </c:pt>
                <c:pt idx="26">
                  <c:v>53</c:v>
                </c:pt>
              </c:numCache>
            </c:numRef>
          </c:cat>
          <c:val>
            <c:numRef>
              <c:f>'B1 Graphik'!$D$76:$D$102</c:f>
              <c:numCache>
                <c:formatCode>0</c:formatCode>
                <c:ptCount val="27"/>
                <c:pt idx="0">
                  <c:v>50</c:v>
                </c:pt>
                <c:pt idx="1">
                  <c:v>50</c:v>
                </c:pt>
                <c:pt idx="2">
                  <c:v>50</c:v>
                </c:pt>
                <c:pt idx="3">
                  <c:v>50</c:v>
                </c:pt>
                <c:pt idx="4">
                  <c:v>50</c:v>
                </c:pt>
                <c:pt idx="5">
                  <c:v>50</c:v>
                </c:pt>
                <c:pt idx="6">
                  <c:v>50</c:v>
                </c:pt>
                <c:pt idx="7">
                  <c:v>45.833333333333336</c:v>
                </c:pt>
                <c:pt idx="8">
                  <c:v>41.666666666666671</c:v>
                </c:pt>
                <c:pt idx="9">
                  <c:v>37.5</c:v>
                </c:pt>
                <c:pt idx="10">
                  <c:v>33.333333333333336</c:v>
                </c:pt>
                <c:pt idx="11">
                  <c:v>29.166666666666668</c:v>
                </c:pt>
                <c:pt idx="12">
                  <c:v>25</c:v>
                </c:pt>
                <c:pt idx="13">
                  <c:v>20.833333333333336</c:v>
                </c:pt>
                <c:pt idx="14">
                  <c:v>16.666666666666668</c:v>
                </c:pt>
                <c:pt idx="15">
                  <c:v>12.5</c:v>
                </c:pt>
                <c:pt idx="16">
                  <c:v>8.3333333333333339</c:v>
                </c:pt>
                <c:pt idx="17">
                  <c:v>4.166666666666667</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0-256B-4D32-A2E1-6C9A610FE40B}"/>
            </c:ext>
          </c:extLst>
        </c:ser>
        <c:dLbls>
          <c:showLegendKey val="0"/>
          <c:showVal val="0"/>
          <c:showCatName val="0"/>
          <c:showSerName val="0"/>
          <c:showPercent val="0"/>
          <c:showBubbleSize val="0"/>
        </c:dLbls>
        <c:smooth val="0"/>
        <c:axId val="103365520"/>
        <c:axId val="103366304"/>
      </c:lineChart>
      <c:catAx>
        <c:axId val="103365520"/>
        <c:scaling>
          <c:orientation val="minMax"/>
        </c:scaling>
        <c:delete val="0"/>
        <c:axPos val="b"/>
        <c:title>
          <c:tx>
            <c:rich>
              <a:bodyPr/>
              <a:lstStyle/>
              <a:p>
                <a:pPr>
                  <a:defRPr/>
                </a:pPr>
                <a:r>
                  <a:rPr lang="de-DE" sz="1200" b="1" i="0" u="none" strike="noStrike" baseline="0">
                    <a:effectLst/>
                    <a:latin typeface="Arial" panose="020B0604020202020204" pitchFamily="34" charset="0"/>
                    <a:cs typeface="Arial" panose="020B0604020202020204" pitchFamily="34" charset="0"/>
                  </a:rPr>
                  <a:t>HWB</a:t>
                </a:r>
                <a:r>
                  <a:rPr lang="en-US" sz="1200">
                    <a:latin typeface="Arial"/>
                    <a:cs typeface="Arial"/>
                  </a:rPr>
                  <a:t> </a:t>
                </a:r>
                <a:r>
                  <a:rPr lang="en-US" sz="1000">
                    <a:latin typeface="Arial"/>
                    <a:cs typeface="Arial"/>
                  </a:rPr>
                  <a:t>in</a:t>
                </a:r>
                <a:r>
                  <a:rPr lang="en-US" sz="1000" baseline="0">
                    <a:latin typeface="Arial"/>
                    <a:cs typeface="Arial"/>
                  </a:rPr>
                  <a:t> </a:t>
                </a:r>
                <a:r>
                  <a:rPr lang="en-US">
                    <a:latin typeface="Arial"/>
                    <a:cs typeface="Arial"/>
                  </a:rPr>
                  <a:t>kWh/(m²a)</a:t>
                </a:r>
                <a:endParaRPr lang="en-US"/>
              </a:p>
            </c:rich>
          </c:tx>
          <c:overlay val="0"/>
        </c:title>
        <c:numFmt formatCode="0" sourceLinked="1"/>
        <c:majorTickMark val="out"/>
        <c:minorTickMark val="none"/>
        <c:tickLblPos val="nextTo"/>
        <c:txPr>
          <a:bodyPr rot="0" vert="horz"/>
          <a:lstStyle/>
          <a:p>
            <a:pPr>
              <a:defRPr/>
            </a:pPr>
            <a:endParaRPr lang="de-DE"/>
          </a:p>
        </c:txPr>
        <c:crossAx val="103366304"/>
        <c:crosses val="autoZero"/>
        <c:auto val="1"/>
        <c:lblAlgn val="ctr"/>
        <c:lblOffset val="100"/>
        <c:tickLblSkip val="2"/>
        <c:tickMarkSkip val="1"/>
        <c:noMultiLvlLbl val="0"/>
      </c:catAx>
      <c:valAx>
        <c:axId val="103366304"/>
        <c:scaling>
          <c:orientation val="minMax"/>
          <c:max val="100"/>
          <c:min val="0"/>
        </c:scaling>
        <c:delete val="0"/>
        <c:axPos val="l"/>
        <c:majorGridlines/>
        <c:title>
          <c:tx>
            <c:rich>
              <a:bodyPr rot="-5400000" vert="horz"/>
              <a:lstStyle/>
              <a:p>
                <a:pPr>
                  <a:defRPr/>
                </a:pPr>
                <a:r>
                  <a:rPr lang="en-US">
                    <a:latin typeface="Arial"/>
                    <a:cs typeface="Arial"/>
                  </a:rPr>
                  <a:t>Punktevergabe</a:t>
                </a:r>
                <a:endParaRPr lang="en-US"/>
              </a:p>
            </c:rich>
          </c:tx>
          <c:overlay val="0"/>
        </c:title>
        <c:numFmt formatCode="0" sourceLinked="1"/>
        <c:majorTickMark val="out"/>
        <c:minorTickMark val="none"/>
        <c:tickLblPos val="nextTo"/>
        <c:crossAx val="103365520"/>
        <c:crosses val="autoZero"/>
        <c:crossBetween val="midCat"/>
        <c:majorUnit val="10"/>
      </c:valAx>
    </c:plotArea>
    <c:legend>
      <c:legendPos val="r"/>
      <c:overlay val="0"/>
    </c:legend>
    <c:plotVisOnly val="1"/>
    <c:dispBlanksAs val="gap"/>
    <c:showDLblsOverMax val="0"/>
  </c:chart>
  <c:printSettings>
    <c:headerFooter/>
    <c:pageMargins b="0.78740157499999996" l="0.7" r="0.7" t="0.78740157499999996"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800" b="1" i="0" u="none" strike="noStrike" baseline="0">
                <a:effectLst/>
                <a:latin typeface="Arial" panose="020B0604020202020204" pitchFamily="34" charset="0"/>
                <a:cs typeface="Arial" panose="020B0604020202020204" pitchFamily="34" charset="0"/>
              </a:rPr>
              <a:t>Kühlbedarf KB</a:t>
            </a:r>
            <a:r>
              <a:rPr lang="de-DE" sz="1800" b="1" i="0" u="none" strike="noStrike" baseline="0">
                <a:latin typeface="Arial" panose="020B0604020202020204" pitchFamily="34" charset="0"/>
                <a:cs typeface="Arial" panose="020B0604020202020204" pitchFamily="34" charset="0"/>
              </a:rPr>
              <a:t> </a:t>
            </a:r>
            <a:r>
              <a:rPr lang="en-US" sz="1800" b="1" i="0" u="none" strike="noStrike" baseline="0">
                <a:latin typeface="Arial" panose="020B0604020202020204" pitchFamily="34" charset="0"/>
                <a:cs typeface="Arial" panose="020B0604020202020204" pitchFamily="34" charset="0"/>
              </a:rPr>
              <a:t>N</a:t>
            </a:r>
            <a:r>
              <a:rPr lang="en-US"/>
              <a:t>eubau</a:t>
            </a:r>
          </a:p>
        </c:rich>
      </c:tx>
      <c:overlay val="0"/>
    </c:title>
    <c:autoTitleDeleted val="0"/>
    <c:plotArea>
      <c:layout/>
      <c:lineChart>
        <c:grouping val="standard"/>
        <c:varyColors val="0"/>
        <c:ser>
          <c:idx val="0"/>
          <c:order val="0"/>
          <c:tx>
            <c:strRef>
              <c:f>'B1 Graphik'!$F$74:$G$74</c:f>
              <c:strCache>
                <c:ptCount val="1"/>
                <c:pt idx="0">
                  <c:v>Neubau</c:v>
                </c:pt>
              </c:strCache>
            </c:strRef>
          </c:tx>
          <c:spPr>
            <a:ln>
              <a:solidFill>
                <a:srgbClr val="C00000"/>
              </a:solidFill>
            </a:ln>
          </c:spPr>
          <c:marker>
            <c:symbol val="none"/>
          </c:marker>
          <c:cat>
            <c:numRef>
              <c:f>'B1 Graphik'!$F$76:$F$100</c:f>
              <c:numCache>
                <c:formatCode>0</c:formatCode>
                <c:ptCount val="2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numCache>
            </c:numRef>
          </c:cat>
          <c:val>
            <c:numRef>
              <c:f>'B1 Graphik'!$G$76:$G$100</c:f>
              <c:numCache>
                <c:formatCode>0</c:formatCode>
                <c:ptCount val="25"/>
                <c:pt idx="0">
                  <c:v>45</c:v>
                </c:pt>
                <c:pt idx="1">
                  <c:v>40.5</c:v>
                </c:pt>
                <c:pt idx="2">
                  <c:v>36</c:v>
                </c:pt>
                <c:pt idx="3">
                  <c:v>31.5</c:v>
                </c:pt>
                <c:pt idx="4">
                  <c:v>27</c:v>
                </c:pt>
                <c:pt idx="5">
                  <c:v>22.5</c:v>
                </c:pt>
                <c:pt idx="6">
                  <c:v>18</c:v>
                </c:pt>
                <c:pt idx="7">
                  <c:v>13.5</c:v>
                </c:pt>
                <c:pt idx="8">
                  <c:v>9</c:v>
                </c:pt>
                <c:pt idx="9">
                  <c:v>4.5</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0-55C7-4156-B1AE-1CB071B8C91F}"/>
            </c:ext>
          </c:extLst>
        </c:ser>
        <c:ser>
          <c:idx val="1"/>
          <c:order val="1"/>
          <c:tx>
            <c:strRef>
              <c:f>'B1 Graphik'!$T$74:$U$74</c:f>
              <c:strCache>
                <c:ptCount val="1"/>
                <c:pt idx="0">
                  <c:v>Sanierung</c:v>
                </c:pt>
              </c:strCache>
            </c:strRef>
          </c:tx>
          <c:spPr>
            <a:ln>
              <a:solidFill>
                <a:srgbClr val="00B0F0"/>
              </a:solidFill>
            </a:ln>
          </c:spPr>
          <c:marker>
            <c:symbol val="none"/>
          </c:marker>
          <c:val>
            <c:numRef>
              <c:f>'B1 Graphik'!$U$76:$U$100</c:f>
              <c:numCache>
                <c:formatCode>0</c:formatCode>
                <c:ptCount val="25"/>
                <c:pt idx="0">
                  <c:v>45</c:v>
                </c:pt>
                <c:pt idx="1">
                  <c:v>45</c:v>
                </c:pt>
                <c:pt idx="2">
                  <c:v>45</c:v>
                </c:pt>
                <c:pt idx="3">
                  <c:v>45</c:v>
                </c:pt>
                <c:pt idx="4">
                  <c:v>45</c:v>
                </c:pt>
                <c:pt idx="5">
                  <c:v>42.1875</c:v>
                </c:pt>
                <c:pt idx="6">
                  <c:v>39.375</c:v>
                </c:pt>
                <c:pt idx="7">
                  <c:v>36.5625</c:v>
                </c:pt>
                <c:pt idx="8">
                  <c:v>33.75</c:v>
                </c:pt>
                <c:pt idx="9">
                  <c:v>30.9375</c:v>
                </c:pt>
                <c:pt idx="10">
                  <c:v>28.125</c:v>
                </c:pt>
                <c:pt idx="11">
                  <c:v>25.3125</c:v>
                </c:pt>
                <c:pt idx="12">
                  <c:v>22.5</c:v>
                </c:pt>
                <c:pt idx="13">
                  <c:v>19.6875</c:v>
                </c:pt>
                <c:pt idx="14">
                  <c:v>16.875</c:v>
                </c:pt>
                <c:pt idx="15">
                  <c:v>14.0625</c:v>
                </c:pt>
                <c:pt idx="16">
                  <c:v>11.25</c:v>
                </c:pt>
                <c:pt idx="17">
                  <c:v>8.4375</c:v>
                </c:pt>
                <c:pt idx="18">
                  <c:v>5.625</c:v>
                </c:pt>
                <c:pt idx="19">
                  <c:v>2.8125</c:v>
                </c:pt>
                <c:pt idx="20">
                  <c:v>0</c:v>
                </c:pt>
                <c:pt idx="21">
                  <c:v>0</c:v>
                </c:pt>
                <c:pt idx="22">
                  <c:v>0</c:v>
                </c:pt>
                <c:pt idx="23">
                  <c:v>0</c:v>
                </c:pt>
                <c:pt idx="24">
                  <c:v>0</c:v>
                </c:pt>
              </c:numCache>
            </c:numRef>
          </c:val>
          <c:smooth val="0"/>
          <c:extLst>
            <c:ext xmlns:c16="http://schemas.microsoft.com/office/drawing/2014/chart" uri="{C3380CC4-5D6E-409C-BE32-E72D297353CC}">
              <c16:uniqueId val="{00000001-55C7-4156-B1AE-1CB071B8C91F}"/>
            </c:ext>
          </c:extLst>
        </c:ser>
        <c:dLbls>
          <c:showLegendKey val="0"/>
          <c:showVal val="0"/>
          <c:showCatName val="0"/>
          <c:showSerName val="0"/>
          <c:showPercent val="0"/>
          <c:showBubbleSize val="0"/>
        </c:dLbls>
        <c:smooth val="0"/>
        <c:axId val="104017064"/>
        <c:axId val="104017456"/>
      </c:lineChart>
      <c:catAx>
        <c:axId val="104017064"/>
        <c:scaling>
          <c:orientation val="minMax"/>
        </c:scaling>
        <c:delete val="0"/>
        <c:axPos val="b"/>
        <c:title>
          <c:tx>
            <c:rich>
              <a:bodyPr/>
              <a:lstStyle/>
              <a:p>
                <a:pPr>
                  <a:defRPr/>
                </a:pPr>
                <a:r>
                  <a:rPr lang="de-DE" sz="1200" b="1" i="0" u="none" strike="noStrike" baseline="0">
                    <a:effectLst/>
                    <a:latin typeface="Arial" panose="020B0604020202020204" pitchFamily="34" charset="0"/>
                    <a:cs typeface="Arial" panose="020B0604020202020204" pitchFamily="34" charset="0"/>
                  </a:rPr>
                  <a:t>KB</a:t>
                </a:r>
                <a:r>
                  <a:rPr lang="en-US">
                    <a:latin typeface="Arial"/>
                    <a:cs typeface="Arial"/>
                  </a:rPr>
                  <a:t> in</a:t>
                </a:r>
                <a:r>
                  <a:rPr lang="en-US" baseline="0">
                    <a:latin typeface="Arial"/>
                    <a:cs typeface="Arial"/>
                  </a:rPr>
                  <a:t> </a:t>
                </a:r>
                <a:r>
                  <a:rPr lang="en-US">
                    <a:latin typeface="Arial"/>
                    <a:cs typeface="Arial"/>
                  </a:rPr>
                  <a:t>kWh/(m²a)</a:t>
                </a:r>
                <a:endParaRPr lang="en-US"/>
              </a:p>
            </c:rich>
          </c:tx>
          <c:overlay val="0"/>
        </c:title>
        <c:numFmt formatCode="0" sourceLinked="1"/>
        <c:majorTickMark val="out"/>
        <c:minorTickMark val="none"/>
        <c:tickLblPos val="nextTo"/>
        <c:crossAx val="104017456"/>
        <c:crosses val="autoZero"/>
        <c:auto val="1"/>
        <c:lblAlgn val="ctr"/>
        <c:lblOffset val="100"/>
        <c:tickLblSkip val="2"/>
        <c:tickMarkSkip val="1"/>
        <c:noMultiLvlLbl val="0"/>
      </c:catAx>
      <c:valAx>
        <c:axId val="104017456"/>
        <c:scaling>
          <c:orientation val="minMax"/>
        </c:scaling>
        <c:delete val="0"/>
        <c:axPos val="l"/>
        <c:majorGridlines/>
        <c:title>
          <c:tx>
            <c:rich>
              <a:bodyPr rot="-5400000" vert="horz"/>
              <a:lstStyle/>
              <a:p>
                <a:pPr>
                  <a:defRPr/>
                </a:pPr>
                <a:r>
                  <a:rPr lang="en-US">
                    <a:latin typeface="Arial"/>
                    <a:cs typeface="Arial"/>
                  </a:rPr>
                  <a:t>Punktevergabe</a:t>
                </a:r>
                <a:endParaRPr lang="en-US"/>
              </a:p>
            </c:rich>
          </c:tx>
          <c:overlay val="0"/>
        </c:title>
        <c:numFmt formatCode="0" sourceLinked="1"/>
        <c:majorTickMark val="out"/>
        <c:minorTickMark val="none"/>
        <c:tickLblPos val="nextTo"/>
        <c:crossAx val="104017064"/>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a:solidFill>
                  <a:srgbClr val="000000"/>
                </a:solidFill>
                <a:latin typeface="Calibri"/>
                <a:ea typeface="Calibri"/>
                <a:cs typeface="Calibri"/>
              </a:defRPr>
            </a:pPr>
            <a:r>
              <a:rPr lang="de-DE" sz="1800" b="1" i="0" u="none" strike="noStrike" baseline="0">
                <a:effectLst/>
                <a:latin typeface="Arial" panose="020B0604020202020204" pitchFamily="34" charset="0"/>
                <a:cs typeface="Arial" panose="020B0604020202020204" pitchFamily="34" charset="0"/>
              </a:rPr>
              <a:t>Primärenergiebedarf PEB</a:t>
            </a:r>
            <a:r>
              <a:rPr lang="de-DE" sz="1800" b="1" i="0" u="none" strike="noStrike" baseline="-25000">
                <a:effectLst/>
                <a:latin typeface="Arial" panose="020B0604020202020204" pitchFamily="34" charset="0"/>
                <a:cs typeface="Arial" panose="020B0604020202020204" pitchFamily="34" charset="0"/>
              </a:rPr>
              <a:t>SK</a:t>
            </a:r>
            <a:r>
              <a:rPr lang="de-DE" b="1">
                <a:latin typeface="Arial" panose="020B0604020202020204" pitchFamily="34" charset="0"/>
                <a:cs typeface="Arial" panose="020B0604020202020204" pitchFamily="34" charset="0"/>
              </a:rPr>
              <a:t> </a:t>
            </a:r>
            <a:r>
              <a:rPr lang="de-DE">
                <a:latin typeface="Arial"/>
                <a:cs typeface="Arial"/>
              </a:rPr>
              <a:t>Neubau</a:t>
            </a:r>
            <a:endParaRPr lang="de-DE"/>
          </a:p>
        </c:rich>
      </c:tx>
      <c:overlay val="0"/>
    </c:title>
    <c:autoTitleDeleted val="0"/>
    <c:plotArea>
      <c:layout/>
      <c:lineChart>
        <c:grouping val="standard"/>
        <c:varyColors val="0"/>
        <c:ser>
          <c:idx val="0"/>
          <c:order val="0"/>
          <c:tx>
            <c:strRef>
              <c:f>'B2 Graphik'!$L$92:$M$92</c:f>
              <c:strCache>
                <c:ptCount val="1"/>
                <c:pt idx="0">
                  <c:v>Neubau</c:v>
                </c:pt>
              </c:strCache>
            </c:strRef>
          </c:tx>
          <c:spPr>
            <a:ln>
              <a:solidFill>
                <a:schemeClr val="accent6">
                  <a:lumMod val="75000"/>
                </a:schemeClr>
              </a:solidFill>
            </a:ln>
          </c:spPr>
          <c:marker>
            <c:symbol val="none"/>
          </c:marker>
          <c:cat>
            <c:numRef>
              <c:f>'B2 Graphik'!$L$94:$L$244</c:f>
              <c:numCache>
                <c:formatCode>0</c:formatCode>
                <c:ptCount val="1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numCache>
            </c:numRef>
          </c:cat>
          <c:val>
            <c:numRef>
              <c:f>'B2 Graphik'!$M$94:$M$244</c:f>
              <c:numCache>
                <c:formatCode>0</c:formatCode>
                <c:ptCount val="151"/>
                <c:pt idx="0">
                  <c:v>120</c:v>
                </c:pt>
                <c:pt idx="1">
                  <c:v>120</c:v>
                </c:pt>
                <c:pt idx="2">
                  <c:v>120</c:v>
                </c:pt>
                <c:pt idx="3">
                  <c:v>120</c:v>
                </c:pt>
                <c:pt idx="4">
                  <c:v>120</c:v>
                </c:pt>
                <c:pt idx="5">
                  <c:v>120</c:v>
                </c:pt>
                <c:pt idx="6">
                  <c:v>120</c:v>
                </c:pt>
                <c:pt idx="7">
                  <c:v>120</c:v>
                </c:pt>
                <c:pt idx="8">
                  <c:v>120</c:v>
                </c:pt>
                <c:pt idx="9">
                  <c:v>120</c:v>
                </c:pt>
                <c:pt idx="10">
                  <c:v>120</c:v>
                </c:pt>
                <c:pt idx="11">
                  <c:v>120</c:v>
                </c:pt>
                <c:pt idx="12">
                  <c:v>120</c:v>
                </c:pt>
                <c:pt idx="13">
                  <c:v>120</c:v>
                </c:pt>
                <c:pt idx="14">
                  <c:v>120</c:v>
                </c:pt>
                <c:pt idx="15">
                  <c:v>120</c:v>
                </c:pt>
                <c:pt idx="16">
                  <c:v>120</c:v>
                </c:pt>
                <c:pt idx="17">
                  <c:v>120</c:v>
                </c:pt>
                <c:pt idx="18">
                  <c:v>120</c:v>
                </c:pt>
                <c:pt idx="19">
                  <c:v>120</c:v>
                </c:pt>
                <c:pt idx="20">
                  <c:v>120</c:v>
                </c:pt>
                <c:pt idx="21">
                  <c:v>120</c:v>
                </c:pt>
                <c:pt idx="22">
                  <c:v>120</c:v>
                </c:pt>
                <c:pt idx="23">
                  <c:v>120</c:v>
                </c:pt>
                <c:pt idx="24">
                  <c:v>120</c:v>
                </c:pt>
                <c:pt idx="25">
                  <c:v>120</c:v>
                </c:pt>
                <c:pt idx="26">
                  <c:v>120</c:v>
                </c:pt>
                <c:pt idx="27">
                  <c:v>120</c:v>
                </c:pt>
                <c:pt idx="28">
                  <c:v>120</c:v>
                </c:pt>
                <c:pt idx="29">
                  <c:v>120</c:v>
                </c:pt>
                <c:pt idx="30">
                  <c:v>120</c:v>
                </c:pt>
                <c:pt idx="31">
                  <c:v>120</c:v>
                </c:pt>
                <c:pt idx="32">
                  <c:v>120</c:v>
                </c:pt>
                <c:pt idx="33">
                  <c:v>120</c:v>
                </c:pt>
                <c:pt idx="34">
                  <c:v>120</c:v>
                </c:pt>
                <c:pt idx="35">
                  <c:v>120</c:v>
                </c:pt>
                <c:pt idx="36">
                  <c:v>120</c:v>
                </c:pt>
                <c:pt idx="37">
                  <c:v>120</c:v>
                </c:pt>
                <c:pt idx="38">
                  <c:v>120</c:v>
                </c:pt>
                <c:pt idx="39">
                  <c:v>120</c:v>
                </c:pt>
                <c:pt idx="40">
                  <c:v>120</c:v>
                </c:pt>
                <c:pt idx="41">
                  <c:v>120</c:v>
                </c:pt>
                <c:pt idx="42">
                  <c:v>120</c:v>
                </c:pt>
                <c:pt idx="43">
                  <c:v>120</c:v>
                </c:pt>
                <c:pt idx="44">
                  <c:v>118.26086956521739</c:v>
                </c:pt>
                <c:pt idx="45">
                  <c:v>116.52173913043478</c:v>
                </c:pt>
                <c:pt idx="46">
                  <c:v>114.78260869565217</c:v>
                </c:pt>
                <c:pt idx="47">
                  <c:v>113.04347826086956</c:v>
                </c:pt>
                <c:pt idx="48">
                  <c:v>111.30434782608695</c:v>
                </c:pt>
                <c:pt idx="49">
                  <c:v>109.56521739130434</c:v>
                </c:pt>
                <c:pt idx="50">
                  <c:v>107.82608695652173</c:v>
                </c:pt>
                <c:pt idx="51">
                  <c:v>106.08695652173913</c:v>
                </c:pt>
                <c:pt idx="52">
                  <c:v>104.34782608695652</c:v>
                </c:pt>
                <c:pt idx="53">
                  <c:v>102.60869565217391</c:v>
                </c:pt>
                <c:pt idx="54">
                  <c:v>100.8695652173913</c:v>
                </c:pt>
                <c:pt idx="55">
                  <c:v>99.130434782608688</c:v>
                </c:pt>
                <c:pt idx="56">
                  <c:v>97.391304347826079</c:v>
                </c:pt>
                <c:pt idx="57">
                  <c:v>95.65217391304347</c:v>
                </c:pt>
                <c:pt idx="58">
                  <c:v>93.91304347826086</c:v>
                </c:pt>
                <c:pt idx="59">
                  <c:v>92.173913043478265</c:v>
                </c:pt>
                <c:pt idx="60">
                  <c:v>90.434782608695656</c:v>
                </c:pt>
                <c:pt idx="61">
                  <c:v>88.695652173913047</c:v>
                </c:pt>
                <c:pt idx="62">
                  <c:v>86.956521739130437</c:v>
                </c:pt>
                <c:pt idx="63">
                  <c:v>85.217391304347828</c:v>
                </c:pt>
                <c:pt idx="64">
                  <c:v>83.478260869565219</c:v>
                </c:pt>
                <c:pt idx="65">
                  <c:v>81.739130434782609</c:v>
                </c:pt>
                <c:pt idx="66">
                  <c:v>80</c:v>
                </c:pt>
                <c:pt idx="67">
                  <c:v>78.260869565217391</c:v>
                </c:pt>
                <c:pt idx="68">
                  <c:v>76.521739130434781</c:v>
                </c:pt>
                <c:pt idx="69">
                  <c:v>74.782608695652172</c:v>
                </c:pt>
                <c:pt idx="70">
                  <c:v>73.043478260869563</c:v>
                </c:pt>
                <c:pt idx="71">
                  <c:v>71.304347826086953</c:v>
                </c:pt>
                <c:pt idx="72">
                  <c:v>69.565217391304344</c:v>
                </c:pt>
                <c:pt idx="73">
                  <c:v>67.826086956521735</c:v>
                </c:pt>
                <c:pt idx="74">
                  <c:v>66.086956521739125</c:v>
                </c:pt>
                <c:pt idx="75">
                  <c:v>64.347826086956516</c:v>
                </c:pt>
                <c:pt idx="76">
                  <c:v>62.608695652173914</c:v>
                </c:pt>
                <c:pt idx="77">
                  <c:v>60.869565217391305</c:v>
                </c:pt>
                <c:pt idx="78">
                  <c:v>59.130434782608695</c:v>
                </c:pt>
                <c:pt idx="79">
                  <c:v>57.391304347826086</c:v>
                </c:pt>
                <c:pt idx="80">
                  <c:v>55.652173913043477</c:v>
                </c:pt>
                <c:pt idx="81">
                  <c:v>53.913043478260867</c:v>
                </c:pt>
                <c:pt idx="82">
                  <c:v>52.173913043478258</c:v>
                </c:pt>
                <c:pt idx="83">
                  <c:v>50.434782608695649</c:v>
                </c:pt>
                <c:pt idx="84">
                  <c:v>48.695652173913039</c:v>
                </c:pt>
                <c:pt idx="85">
                  <c:v>46.95652173913043</c:v>
                </c:pt>
                <c:pt idx="86">
                  <c:v>45.217391304347828</c:v>
                </c:pt>
                <c:pt idx="87">
                  <c:v>43.478260869565219</c:v>
                </c:pt>
                <c:pt idx="88">
                  <c:v>41.739130434782609</c:v>
                </c:pt>
                <c:pt idx="89">
                  <c:v>40</c:v>
                </c:pt>
                <c:pt idx="90">
                  <c:v>38.260869565217391</c:v>
                </c:pt>
                <c:pt idx="91">
                  <c:v>36.521739130434781</c:v>
                </c:pt>
                <c:pt idx="92">
                  <c:v>34.782608695652172</c:v>
                </c:pt>
                <c:pt idx="93">
                  <c:v>33.043478260869563</c:v>
                </c:pt>
                <c:pt idx="94">
                  <c:v>31.304347826086957</c:v>
                </c:pt>
                <c:pt idx="95">
                  <c:v>29.565217391304348</c:v>
                </c:pt>
                <c:pt idx="96">
                  <c:v>27.826086956521738</c:v>
                </c:pt>
                <c:pt idx="97">
                  <c:v>26.086956521739129</c:v>
                </c:pt>
                <c:pt idx="98">
                  <c:v>24.34782608695652</c:v>
                </c:pt>
                <c:pt idx="99">
                  <c:v>22.608695652173914</c:v>
                </c:pt>
                <c:pt idx="100">
                  <c:v>20.869565217391305</c:v>
                </c:pt>
                <c:pt idx="101">
                  <c:v>19.130434782608695</c:v>
                </c:pt>
                <c:pt idx="102">
                  <c:v>17.391304347826086</c:v>
                </c:pt>
                <c:pt idx="103">
                  <c:v>15.652173913043478</c:v>
                </c:pt>
                <c:pt idx="104">
                  <c:v>13.913043478260869</c:v>
                </c:pt>
                <c:pt idx="105">
                  <c:v>12.17391304347826</c:v>
                </c:pt>
                <c:pt idx="106">
                  <c:v>10.434782608695652</c:v>
                </c:pt>
                <c:pt idx="107">
                  <c:v>8.695652173913043</c:v>
                </c:pt>
                <c:pt idx="108">
                  <c:v>6.9565217391304346</c:v>
                </c:pt>
                <c:pt idx="109">
                  <c:v>5.2173913043478262</c:v>
                </c:pt>
                <c:pt idx="110">
                  <c:v>3.4782608695652173</c:v>
                </c:pt>
                <c:pt idx="111">
                  <c:v>1.7391304347826086</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numCache>
            </c:numRef>
          </c:val>
          <c:smooth val="0"/>
          <c:extLst>
            <c:ext xmlns:c16="http://schemas.microsoft.com/office/drawing/2014/chart" uri="{C3380CC4-5D6E-409C-BE32-E72D297353CC}">
              <c16:uniqueId val="{00000000-FB76-4A3E-B85C-33F0F440EBD5}"/>
            </c:ext>
          </c:extLst>
        </c:ser>
        <c:dLbls>
          <c:showLegendKey val="0"/>
          <c:showVal val="0"/>
          <c:showCatName val="0"/>
          <c:showSerName val="0"/>
          <c:showPercent val="0"/>
          <c:showBubbleSize val="0"/>
        </c:dLbls>
        <c:smooth val="0"/>
        <c:axId val="103371008"/>
        <c:axId val="103371792"/>
      </c:lineChart>
      <c:catAx>
        <c:axId val="103371008"/>
        <c:scaling>
          <c:orientation val="minMax"/>
        </c:scaling>
        <c:delete val="0"/>
        <c:axPos val="b"/>
        <c:title>
          <c:tx>
            <c:rich>
              <a:bodyPr/>
              <a:lstStyle/>
              <a:p>
                <a:pPr>
                  <a:defRPr sz="1000" b="1" i="0" u="none" strike="noStrike">
                    <a:solidFill>
                      <a:srgbClr val="000000"/>
                    </a:solidFill>
                    <a:latin typeface="Calibri"/>
                    <a:ea typeface="Calibri"/>
                    <a:cs typeface="Calibri"/>
                  </a:defRPr>
                </a:pPr>
                <a:r>
                  <a:rPr lang="de-DE" sz="1200" b="1" i="0" u="none" strike="noStrike" baseline="0">
                    <a:effectLst/>
                    <a:latin typeface="Arial" panose="020B0604020202020204" pitchFamily="34" charset="0"/>
                    <a:cs typeface="Arial" panose="020B0604020202020204" pitchFamily="34" charset="0"/>
                  </a:rPr>
                  <a:t>PEB</a:t>
                </a:r>
                <a:r>
                  <a:rPr lang="de-DE" sz="1200" b="1" i="0" u="none" strike="noStrike" baseline="-25000">
                    <a:effectLst/>
                    <a:latin typeface="Arial" panose="020B0604020202020204" pitchFamily="34" charset="0"/>
                    <a:cs typeface="Arial" panose="020B0604020202020204" pitchFamily="34" charset="0"/>
                  </a:rPr>
                  <a:t>SK</a:t>
                </a:r>
                <a:r>
                  <a:rPr lang="de-DE">
                    <a:latin typeface="Arial"/>
                    <a:cs typeface="Arial"/>
                  </a:rPr>
                  <a:t> in</a:t>
                </a:r>
                <a:r>
                  <a:rPr lang="de-DE" baseline="0">
                    <a:latin typeface="Arial"/>
                    <a:cs typeface="Arial"/>
                  </a:rPr>
                  <a:t> </a:t>
                </a:r>
                <a:r>
                  <a:rPr lang="de-DE">
                    <a:latin typeface="Arial"/>
                    <a:cs typeface="Arial"/>
                  </a:rPr>
                  <a:t>kWh/(m²a)</a:t>
                </a:r>
                <a:endParaRPr lang="de-DE"/>
              </a:p>
            </c:rich>
          </c:tx>
          <c:overlay val="0"/>
        </c:title>
        <c:numFmt formatCode="0" sourceLinked="1"/>
        <c:majorTickMark val="out"/>
        <c:minorTickMark val="none"/>
        <c:tickLblPos val="nextTo"/>
        <c:txPr>
          <a:bodyPr rot="0" vert="horz" anchor="ctr" anchorCtr="0"/>
          <a:lstStyle/>
          <a:p>
            <a:pPr>
              <a:defRPr sz="1000" b="0" i="0" u="none" strike="noStrike">
                <a:solidFill>
                  <a:srgbClr val="000000"/>
                </a:solidFill>
                <a:latin typeface="Calibri"/>
                <a:ea typeface="Calibri"/>
                <a:cs typeface="Calibri"/>
              </a:defRPr>
            </a:pPr>
            <a:endParaRPr lang="de-DE"/>
          </a:p>
        </c:txPr>
        <c:crossAx val="103371792"/>
        <c:crosses val="autoZero"/>
        <c:auto val="0"/>
        <c:lblAlgn val="ctr"/>
        <c:lblOffset val="100"/>
        <c:tickLblSkip val="10"/>
        <c:tickMarkSkip val="5"/>
        <c:noMultiLvlLbl val="0"/>
      </c:catAx>
      <c:valAx>
        <c:axId val="103371792"/>
        <c:scaling>
          <c:orientation val="minMax"/>
        </c:scaling>
        <c:delete val="0"/>
        <c:axPos val="l"/>
        <c:majorGridlines/>
        <c:title>
          <c:tx>
            <c:rich>
              <a:bodyPr rot="-5400000" vert="horz"/>
              <a:lstStyle/>
              <a:p>
                <a:pPr>
                  <a:defRPr/>
                </a:pPr>
                <a:r>
                  <a:rPr lang="en-US" b="1">
                    <a:latin typeface="Arial"/>
                    <a:cs typeface="Arial"/>
                  </a:rPr>
                  <a:t>Punktevergabe</a:t>
                </a:r>
                <a:endParaRPr lang="en-US"/>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71008"/>
        <c:crosses val="autoZero"/>
        <c:crossBetween val="midCat"/>
        <c:majorUnit val="15"/>
        <c:minorUnit val="5"/>
      </c:valAx>
    </c:plotArea>
    <c:legend>
      <c:legendPos val="r"/>
      <c:overlay val="0"/>
      <c:txPr>
        <a:bodyPr/>
        <a:lstStyle/>
        <a:p>
          <a:pPr>
            <a:defRPr sz="900" b="0" i="0" u="none" strike="noStrike">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a:solidFill>
                  <a:srgbClr val="000000"/>
                </a:solidFill>
                <a:latin typeface="Calibri"/>
                <a:ea typeface="Calibri"/>
                <a:cs typeface="Calibri"/>
              </a:defRPr>
            </a:pPr>
            <a:r>
              <a:rPr lang="de-DE" sz="1800" b="1" i="0" u="none" strike="noStrike" baseline="0">
                <a:effectLst/>
                <a:latin typeface="Arial" panose="020B0604020202020204" pitchFamily="34" charset="0"/>
                <a:cs typeface="Arial" panose="020B0604020202020204" pitchFamily="34" charset="0"/>
              </a:rPr>
              <a:t>Emissionen CO</a:t>
            </a:r>
            <a:r>
              <a:rPr lang="de-DE" sz="1800" b="1" i="0" u="none" strike="noStrike" baseline="-25000">
                <a:effectLst/>
                <a:latin typeface="Arial" panose="020B0604020202020204" pitchFamily="34" charset="0"/>
                <a:cs typeface="Arial" panose="020B0604020202020204" pitchFamily="34" charset="0"/>
              </a:rPr>
              <a:t>2</a:t>
            </a:r>
            <a:r>
              <a:rPr lang="de-DE" sz="1800" b="1" i="0" u="none" strike="noStrike" baseline="0">
                <a:effectLst/>
                <a:latin typeface="Arial" panose="020B0604020202020204" pitchFamily="34" charset="0"/>
                <a:cs typeface="Arial" panose="020B0604020202020204" pitchFamily="34" charset="0"/>
              </a:rPr>
              <a:t>-Äquivalente</a:t>
            </a:r>
            <a:r>
              <a:rPr lang="de-DE" b="1">
                <a:latin typeface="Arial" panose="020B0604020202020204" pitchFamily="34" charset="0"/>
                <a:cs typeface="Arial" panose="020B0604020202020204" pitchFamily="34" charset="0"/>
              </a:rPr>
              <a:t> </a:t>
            </a:r>
            <a:r>
              <a:rPr lang="de-DE">
                <a:latin typeface="Arial"/>
                <a:cs typeface="Arial"/>
              </a:rPr>
              <a:t>Neubau</a:t>
            </a:r>
            <a:endParaRPr lang="de-DE"/>
          </a:p>
        </c:rich>
      </c:tx>
      <c:overlay val="0"/>
    </c:title>
    <c:autoTitleDeleted val="0"/>
    <c:plotArea>
      <c:layout/>
      <c:lineChart>
        <c:grouping val="standard"/>
        <c:varyColors val="0"/>
        <c:ser>
          <c:idx val="0"/>
          <c:order val="0"/>
          <c:tx>
            <c:strRef>
              <c:f>'B2 Graphik'!$O$92:$P$92</c:f>
              <c:strCache>
                <c:ptCount val="1"/>
                <c:pt idx="0">
                  <c:v>Neubau</c:v>
                </c:pt>
              </c:strCache>
            </c:strRef>
          </c:tx>
          <c:spPr>
            <a:prstGeom prst="rect">
              <a:avLst/>
            </a:prstGeom>
            <a:ln w="28575">
              <a:solidFill>
                <a:schemeClr val="tx1"/>
              </a:solidFill>
            </a:ln>
          </c:spPr>
          <c:marker>
            <c:symbol val="none"/>
          </c:marker>
          <c:cat>
            <c:numRef>
              <c:f>'B2 Graphik'!$O$94:$O$124</c:f>
              <c:numCache>
                <c:formatCode>0</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'B2 Graphik'!$P$94:$P$124</c:f>
              <c:numCache>
                <c:formatCode>0</c:formatCode>
                <c:ptCount val="31"/>
                <c:pt idx="0">
                  <c:v>135</c:v>
                </c:pt>
                <c:pt idx="1">
                  <c:v>127.5</c:v>
                </c:pt>
                <c:pt idx="2">
                  <c:v>120</c:v>
                </c:pt>
                <c:pt idx="3">
                  <c:v>112.5</c:v>
                </c:pt>
                <c:pt idx="4">
                  <c:v>105</c:v>
                </c:pt>
                <c:pt idx="5">
                  <c:v>97.5</c:v>
                </c:pt>
                <c:pt idx="6">
                  <c:v>90</c:v>
                </c:pt>
                <c:pt idx="7">
                  <c:v>82.5</c:v>
                </c:pt>
                <c:pt idx="8">
                  <c:v>75</c:v>
                </c:pt>
                <c:pt idx="9">
                  <c:v>67.5</c:v>
                </c:pt>
                <c:pt idx="10">
                  <c:v>60</c:v>
                </c:pt>
                <c:pt idx="11">
                  <c:v>52.5</c:v>
                </c:pt>
                <c:pt idx="12">
                  <c:v>45</c:v>
                </c:pt>
                <c:pt idx="13">
                  <c:v>37.5</c:v>
                </c:pt>
                <c:pt idx="14">
                  <c:v>30</c:v>
                </c:pt>
                <c:pt idx="15">
                  <c:v>22.5</c:v>
                </c:pt>
                <c:pt idx="16">
                  <c:v>15</c:v>
                </c:pt>
                <c:pt idx="17">
                  <c:v>7.5</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0-8677-4E3A-8AF3-8C18513081D0}"/>
            </c:ext>
          </c:extLst>
        </c:ser>
        <c:dLbls>
          <c:showLegendKey val="0"/>
          <c:showVal val="0"/>
          <c:showCatName val="0"/>
          <c:showSerName val="0"/>
          <c:showPercent val="0"/>
          <c:showBubbleSize val="0"/>
        </c:dLbls>
        <c:smooth val="0"/>
        <c:axId val="103372184"/>
        <c:axId val="103364736"/>
      </c:lineChart>
      <c:catAx>
        <c:axId val="103372184"/>
        <c:scaling>
          <c:orientation val="minMax"/>
        </c:scaling>
        <c:delete val="0"/>
        <c:axPos val="b"/>
        <c:title>
          <c:tx>
            <c:rich>
              <a:bodyPr/>
              <a:lstStyle/>
              <a:p>
                <a:pPr>
                  <a:defRPr sz="1000" b="1" i="0" u="none" strike="noStrike">
                    <a:solidFill>
                      <a:srgbClr val="000000"/>
                    </a:solidFill>
                    <a:latin typeface="Calibri"/>
                    <a:ea typeface="Calibri"/>
                    <a:cs typeface="Calibri"/>
                  </a:defRPr>
                </a:pPr>
                <a:r>
                  <a:rPr lang="de-DE">
                    <a:latin typeface="Arial"/>
                    <a:cs typeface="Arial"/>
                  </a:rPr>
                  <a:t>CO</a:t>
                </a:r>
                <a:r>
                  <a:rPr lang="de-DE" baseline="-25000">
                    <a:latin typeface="Arial"/>
                    <a:cs typeface="Arial"/>
                  </a:rPr>
                  <a:t>2</a:t>
                </a:r>
                <a:r>
                  <a:rPr lang="de-DE" baseline="0">
                    <a:latin typeface="Arial"/>
                    <a:cs typeface="Arial"/>
                  </a:rPr>
                  <a:t>-Äquivalente</a:t>
                </a:r>
                <a:r>
                  <a:rPr lang="de-DE">
                    <a:latin typeface="Arial"/>
                    <a:cs typeface="Arial"/>
                  </a:rPr>
                  <a:t> in</a:t>
                </a:r>
                <a:r>
                  <a:rPr lang="de-DE" baseline="0">
                    <a:latin typeface="Arial"/>
                    <a:cs typeface="Arial"/>
                  </a:rPr>
                  <a:t> </a:t>
                </a:r>
                <a:r>
                  <a:rPr lang="de-DE">
                    <a:latin typeface="Arial"/>
                    <a:cs typeface="Arial"/>
                  </a:rPr>
                  <a:t>kg/(m²a)</a:t>
                </a:r>
                <a:endParaRPr lang="de-DE"/>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64736"/>
        <c:crosses val="autoZero"/>
        <c:auto val="1"/>
        <c:lblAlgn val="ctr"/>
        <c:lblOffset val="100"/>
        <c:tickLblSkip val="2"/>
        <c:tickMarkSkip val="2"/>
        <c:noMultiLvlLbl val="0"/>
      </c:catAx>
      <c:valAx>
        <c:axId val="103364736"/>
        <c:scaling>
          <c:orientation val="minMax"/>
        </c:scaling>
        <c:delete val="0"/>
        <c:axPos val="l"/>
        <c:majorGridlines/>
        <c:title>
          <c:tx>
            <c:rich>
              <a:bodyPr rot="-5400000" vert="horz"/>
              <a:lstStyle/>
              <a:p>
                <a:pPr>
                  <a:defRPr/>
                </a:pPr>
                <a:r>
                  <a:rPr lang="en-US" b="1">
                    <a:latin typeface="Arial"/>
                    <a:cs typeface="Arial"/>
                  </a:rPr>
                  <a:t>Punktevergabe</a:t>
                </a:r>
                <a:endParaRPr lang="en-US"/>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72184"/>
        <c:crosses val="autoZero"/>
        <c:crossBetween val="midCat"/>
        <c:majorUnit val="15"/>
        <c:minorUnit val="5"/>
      </c:valAx>
    </c:plotArea>
    <c:legend>
      <c:legendPos val="r"/>
      <c:overlay val="0"/>
      <c:txPr>
        <a:bodyPr/>
        <a:lstStyle/>
        <a:p>
          <a:pPr>
            <a:defRPr sz="900" b="0" i="0" u="none" strike="noStrike">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a:solidFill>
            <a:srgbClr val="000000"/>
          </a:solidFill>
          <a:latin typeface="Calibri"/>
          <a:ea typeface="Calibri"/>
          <a:cs typeface="Calibri"/>
        </a:defRPr>
      </a:pPr>
      <a:endParaRPr lang="de-DE"/>
    </a:p>
  </c:txPr>
  <c:printSettings>
    <c:headerFooter/>
    <c:pageMargins b="0.78740157499999996" l="0.7000000000000004" r="0.7000000000000004" t="0.78740157499999996" header="0.30000000000000021" footer="0.3000000000000002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800" b="1" i="0" u="none" strike="noStrike" baseline="0">
                <a:effectLst/>
                <a:latin typeface="Arial" panose="020B0604020202020204" pitchFamily="34" charset="0"/>
                <a:cs typeface="Arial" panose="020B0604020202020204" pitchFamily="34" charset="0"/>
              </a:rPr>
              <a:t>Heizwärmebedarf HWB</a:t>
            </a:r>
            <a:r>
              <a:rPr lang="de-DE" sz="1800" b="1" i="0" u="none" strike="noStrike" baseline="-25000">
                <a:effectLst/>
                <a:latin typeface="Arial" panose="020B0604020202020204" pitchFamily="34" charset="0"/>
                <a:cs typeface="Arial" panose="020B0604020202020204" pitchFamily="34" charset="0"/>
              </a:rPr>
              <a:t>SK</a:t>
            </a:r>
            <a:r>
              <a:rPr lang="de-DE" sz="1800" b="1" i="0" u="none" strike="noStrike" baseline="0">
                <a:latin typeface="Arial" panose="020B0604020202020204" pitchFamily="34" charset="0"/>
                <a:cs typeface="Arial" panose="020B0604020202020204" pitchFamily="34" charset="0"/>
              </a:rPr>
              <a:t> </a:t>
            </a:r>
            <a:r>
              <a:rPr lang="en-US">
                <a:latin typeface="Arial"/>
                <a:cs typeface="Arial"/>
              </a:rPr>
              <a:t>Neubau</a:t>
            </a:r>
            <a:endParaRPr lang="en-US"/>
          </a:p>
        </c:rich>
      </c:tx>
      <c:overlay val="0"/>
    </c:title>
    <c:autoTitleDeleted val="0"/>
    <c:plotArea>
      <c:layout/>
      <c:lineChart>
        <c:grouping val="standard"/>
        <c:varyColors val="0"/>
        <c:ser>
          <c:idx val="1"/>
          <c:order val="0"/>
          <c:tx>
            <c:strRef>
              <c:f>'B2 Graphik'!$C$92:$D$92</c:f>
              <c:strCache>
                <c:ptCount val="1"/>
                <c:pt idx="0">
                  <c:v>Neubau</c:v>
                </c:pt>
              </c:strCache>
            </c:strRef>
          </c:tx>
          <c:spPr>
            <a:ln w="28575">
              <a:solidFill>
                <a:srgbClr val="C00000"/>
              </a:solidFill>
            </a:ln>
          </c:spPr>
          <c:marker>
            <c:symbol val="none"/>
          </c:marker>
          <c:cat>
            <c:numRef>
              <c:f>'B2 Graphik'!$C$94:$C$159</c:f>
              <c:numCache>
                <c:formatCode>0</c:formatCode>
                <c:ptCount val="6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numCache>
            </c:numRef>
          </c:cat>
          <c:val>
            <c:numRef>
              <c:f>'B2 Graphik'!$D$94:$D$159</c:f>
              <c:numCache>
                <c:formatCode>0</c:formatCode>
                <c:ptCount val="66"/>
                <c:pt idx="0">
                  <c:v>25</c:v>
                </c:pt>
                <c:pt idx="1">
                  <c:v>25</c:v>
                </c:pt>
                <c:pt idx="2">
                  <c:v>25</c:v>
                </c:pt>
                <c:pt idx="3">
                  <c:v>25</c:v>
                </c:pt>
                <c:pt idx="4">
                  <c:v>25</c:v>
                </c:pt>
                <c:pt idx="5">
                  <c:v>25</c:v>
                </c:pt>
                <c:pt idx="6">
                  <c:v>25</c:v>
                </c:pt>
                <c:pt idx="7">
                  <c:v>25</c:v>
                </c:pt>
                <c:pt idx="8">
                  <c:v>25</c:v>
                </c:pt>
                <c:pt idx="9">
                  <c:v>25</c:v>
                </c:pt>
                <c:pt idx="10">
                  <c:v>25</c:v>
                </c:pt>
                <c:pt idx="11">
                  <c:v>24.404761904761905</c:v>
                </c:pt>
                <c:pt idx="12">
                  <c:v>23.80952380952381</c:v>
                </c:pt>
                <c:pt idx="13">
                  <c:v>23.214285714285715</c:v>
                </c:pt>
                <c:pt idx="14">
                  <c:v>22.61904761904762</c:v>
                </c:pt>
                <c:pt idx="15">
                  <c:v>22.023809523809522</c:v>
                </c:pt>
                <c:pt idx="16">
                  <c:v>21.428571428571427</c:v>
                </c:pt>
                <c:pt idx="17">
                  <c:v>20.833333333333332</c:v>
                </c:pt>
                <c:pt idx="18">
                  <c:v>20.238095238095237</c:v>
                </c:pt>
                <c:pt idx="19">
                  <c:v>19.642857142857142</c:v>
                </c:pt>
                <c:pt idx="20">
                  <c:v>19.047619047619047</c:v>
                </c:pt>
                <c:pt idx="21">
                  <c:v>18.452380952380953</c:v>
                </c:pt>
                <c:pt idx="22">
                  <c:v>17.857142857142858</c:v>
                </c:pt>
                <c:pt idx="23">
                  <c:v>17.261904761904763</c:v>
                </c:pt>
                <c:pt idx="24">
                  <c:v>16.666666666666668</c:v>
                </c:pt>
                <c:pt idx="25">
                  <c:v>16.071428571428573</c:v>
                </c:pt>
                <c:pt idx="26">
                  <c:v>15.476190476190476</c:v>
                </c:pt>
                <c:pt idx="27">
                  <c:v>14.880952380952381</c:v>
                </c:pt>
                <c:pt idx="28">
                  <c:v>14.285714285714285</c:v>
                </c:pt>
                <c:pt idx="29">
                  <c:v>13.69047619047619</c:v>
                </c:pt>
                <c:pt idx="30">
                  <c:v>13.095238095238095</c:v>
                </c:pt>
                <c:pt idx="31">
                  <c:v>12.5</c:v>
                </c:pt>
                <c:pt idx="32">
                  <c:v>11.904761904761905</c:v>
                </c:pt>
                <c:pt idx="33">
                  <c:v>11.30952380952381</c:v>
                </c:pt>
                <c:pt idx="34">
                  <c:v>10.714285714285714</c:v>
                </c:pt>
                <c:pt idx="35">
                  <c:v>10.119047619047619</c:v>
                </c:pt>
                <c:pt idx="36">
                  <c:v>9.5238095238095237</c:v>
                </c:pt>
                <c:pt idx="37">
                  <c:v>8.9285714285714288</c:v>
                </c:pt>
                <c:pt idx="38">
                  <c:v>8.3333333333333339</c:v>
                </c:pt>
                <c:pt idx="39">
                  <c:v>7.7380952380952381</c:v>
                </c:pt>
                <c:pt idx="40">
                  <c:v>7.1428571428571423</c:v>
                </c:pt>
                <c:pt idx="41">
                  <c:v>6.5476190476190474</c:v>
                </c:pt>
                <c:pt idx="42">
                  <c:v>5.9523809523809526</c:v>
                </c:pt>
                <c:pt idx="43">
                  <c:v>5.3571428571428568</c:v>
                </c:pt>
                <c:pt idx="44">
                  <c:v>4.7619047619047619</c:v>
                </c:pt>
                <c:pt idx="45">
                  <c:v>4.166666666666667</c:v>
                </c:pt>
                <c:pt idx="46">
                  <c:v>3.5714285714285712</c:v>
                </c:pt>
                <c:pt idx="47">
                  <c:v>2.9761904761904763</c:v>
                </c:pt>
                <c:pt idx="48">
                  <c:v>2.3809523809523809</c:v>
                </c:pt>
                <c:pt idx="49">
                  <c:v>1.7857142857142856</c:v>
                </c:pt>
                <c:pt idx="50">
                  <c:v>1.1904761904761905</c:v>
                </c:pt>
                <c:pt idx="51">
                  <c:v>0.59523809523809523</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val>
          <c:smooth val="0"/>
          <c:extLst>
            <c:ext xmlns:c16="http://schemas.microsoft.com/office/drawing/2014/chart" uri="{C3380CC4-5D6E-409C-BE32-E72D297353CC}">
              <c16:uniqueId val="{00000000-78BF-4546-8876-E4EBD3F00523}"/>
            </c:ext>
          </c:extLst>
        </c:ser>
        <c:dLbls>
          <c:showLegendKey val="0"/>
          <c:showVal val="0"/>
          <c:showCatName val="0"/>
          <c:showSerName val="0"/>
          <c:showPercent val="0"/>
          <c:showBubbleSize val="0"/>
        </c:dLbls>
        <c:smooth val="0"/>
        <c:axId val="103365520"/>
        <c:axId val="103366304"/>
      </c:lineChart>
      <c:catAx>
        <c:axId val="103365520"/>
        <c:scaling>
          <c:orientation val="minMax"/>
        </c:scaling>
        <c:delete val="0"/>
        <c:axPos val="b"/>
        <c:title>
          <c:tx>
            <c:rich>
              <a:bodyPr/>
              <a:lstStyle/>
              <a:p>
                <a:pPr>
                  <a:defRPr/>
                </a:pPr>
                <a:r>
                  <a:rPr lang="de-DE" sz="1200" b="1" i="0" u="none" strike="noStrike" baseline="0">
                    <a:effectLst/>
                    <a:latin typeface="Arial" panose="020B0604020202020204" pitchFamily="34" charset="0"/>
                    <a:cs typeface="Arial" panose="020B0604020202020204" pitchFamily="34" charset="0"/>
                  </a:rPr>
                  <a:t>HWB</a:t>
                </a:r>
                <a:r>
                  <a:rPr lang="de-DE" sz="1200" b="1" i="0" u="none" strike="noStrike" baseline="-25000">
                    <a:effectLst/>
                    <a:latin typeface="Arial" panose="020B0604020202020204" pitchFamily="34" charset="0"/>
                    <a:cs typeface="Arial" panose="020B0604020202020204" pitchFamily="34" charset="0"/>
                  </a:rPr>
                  <a:t>SK</a:t>
                </a:r>
                <a:r>
                  <a:rPr lang="en-US" sz="1200">
                    <a:latin typeface="Arial"/>
                    <a:cs typeface="Arial"/>
                  </a:rPr>
                  <a:t> </a:t>
                </a:r>
                <a:r>
                  <a:rPr lang="en-US" sz="1000">
                    <a:latin typeface="Arial"/>
                    <a:cs typeface="Arial"/>
                  </a:rPr>
                  <a:t>in</a:t>
                </a:r>
                <a:r>
                  <a:rPr lang="en-US" sz="1000" baseline="0">
                    <a:latin typeface="Arial"/>
                    <a:cs typeface="Arial"/>
                  </a:rPr>
                  <a:t> </a:t>
                </a:r>
                <a:r>
                  <a:rPr lang="en-US">
                    <a:latin typeface="Arial"/>
                    <a:cs typeface="Arial"/>
                  </a:rPr>
                  <a:t>kWh/(m²a)</a:t>
                </a:r>
                <a:endParaRPr lang="en-US"/>
              </a:p>
            </c:rich>
          </c:tx>
          <c:overlay val="0"/>
        </c:title>
        <c:numFmt formatCode="0" sourceLinked="1"/>
        <c:majorTickMark val="out"/>
        <c:minorTickMark val="none"/>
        <c:tickLblPos val="nextTo"/>
        <c:txPr>
          <a:bodyPr rot="0" vert="horz"/>
          <a:lstStyle/>
          <a:p>
            <a:pPr>
              <a:defRPr/>
            </a:pPr>
            <a:endParaRPr lang="de-DE"/>
          </a:p>
        </c:txPr>
        <c:crossAx val="103366304"/>
        <c:crosses val="autoZero"/>
        <c:auto val="1"/>
        <c:lblAlgn val="ctr"/>
        <c:lblOffset val="100"/>
        <c:tickLblSkip val="4"/>
        <c:tickMarkSkip val="2"/>
        <c:noMultiLvlLbl val="0"/>
      </c:catAx>
      <c:valAx>
        <c:axId val="103366304"/>
        <c:scaling>
          <c:orientation val="minMax"/>
          <c:max val="40"/>
          <c:min val="0"/>
        </c:scaling>
        <c:delete val="0"/>
        <c:axPos val="l"/>
        <c:majorGridlines/>
        <c:title>
          <c:tx>
            <c:rich>
              <a:bodyPr rot="-5400000" vert="horz"/>
              <a:lstStyle/>
              <a:p>
                <a:pPr>
                  <a:defRPr/>
                </a:pPr>
                <a:r>
                  <a:rPr lang="en-US">
                    <a:latin typeface="Arial"/>
                    <a:cs typeface="Arial"/>
                  </a:rPr>
                  <a:t>Punktevergabe</a:t>
                </a:r>
                <a:endParaRPr lang="en-US"/>
              </a:p>
            </c:rich>
          </c:tx>
          <c:overlay val="0"/>
        </c:title>
        <c:numFmt formatCode="0" sourceLinked="1"/>
        <c:majorTickMark val="out"/>
        <c:minorTickMark val="none"/>
        <c:tickLblPos val="nextTo"/>
        <c:crossAx val="103365520"/>
        <c:crosses val="autoZero"/>
        <c:crossBetween val="midCat"/>
        <c:majorUnit val="10"/>
        <c:minorUnit val="1"/>
      </c:valAx>
    </c:plotArea>
    <c:legend>
      <c:legendPos val="r"/>
      <c:overlay val="0"/>
    </c:legend>
    <c:plotVisOnly val="1"/>
    <c:dispBlanksAs val="gap"/>
    <c:showDLblsOverMax val="0"/>
  </c:chart>
  <c:printSettings>
    <c:headerFooter/>
    <c:pageMargins b="0.78740157499999996" l="0.7" r="0.7" t="0.78740157499999996" header="0.3" footer="0.3"/>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800" b="1" i="0" u="none" strike="noStrike" baseline="0">
                <a:effectLst/>
                <a:latin typeface="Arial" panose="020B0604020202020204" pitchFamily="34" charset="0"/>
                <a:cs typeface="Arial" panose="020B0604020202020204" pitchFamily="34" charset="0"/>
              </a:rPr>
              <a:t>Kühlbedarf KB</a:t>
            </a:r>
            <a:r>
              <a:rPr lang="de-DE" sz="1800" b="1" i="0" u="none" strike="noStrike" baseline="-25000">
                <a:effectLst/>
                <a:latin typeface="Arial" panose="020B0604020202020204" pitchFamily="34" charset="0"/>
                <a:cs typeface="Arial" panose="020B0604020202020204" pitchFamily="34" charset="0"/>
              </a:rPr>
              <a:t>SK</a:t>
            </a:r>
            <a:r>
              <a:rPr lang="de-DE" sz="1800" b="1" i="0" u="none" strike="noStrike" baseline="0">
                <a:latin typeface="Arial" panose="020B0604020202020204" pitchFamily="34" charset="0"/>
                <a:cs typeface="Arial" panose="020B0604020202020204" pitchFamily="34" charset="0"/>
              </a:rPr>
              <a:t> </a:t>
            </a:r>
            <a:r>
              <a:rPr lang="en-US" sz="1800" b="1" i="0" u="none" strike="noStrike" baseline="0">
                <a:latin typeface="Arial" panose="020B0604020202020204" pitchFamily="34" charset="0"/>
                <a:cs typeface="Arial" panose="020B0604020202020204" pitchFamily="34" charset="0"/>
              </a:rPr>
              <a:t>N</a:t>
            </a:r>
            <a:r>
              <a:rPr lang="en-US"/>
              <a:t>eubau</a:t>
            </a:r>
          </a:p>
        </c:rich>
      </c:tx>
      <c:overlay val="0"/>
    </c:title>
    <c:autoTitleDeleted val="0"/>
    <c:plotArea>
      <c:layout/>
      <c:lineChart>
        <c:grouping val="standard"/>
        <c:varyColors val="0"/>
        <c:ser>
          <c:idx val="0"/>
          <c:order val="0"/>
          <c:tx>
            <c:strRef>
              <c:f>'B2 Graphik'!$I$92:$J$92</c:f>
              <c:strCache>
                <c:ptCount val="1"/>
                <c:pt idx="0">
                  <c:v>Neubau</c:v>
                </c:pt>
              </c:strCache>
            </c:strRef>
          </c:tx>
          <c:marker>
            <c:symbol val="none"/>
          </c:marker>
          <c:cat>
            <c:numRef>
              <c:f>'B2 Graphik'!$I$94:$I$134</c:f>
              <c:numCache>
                <c:formatCode>0</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cat>
          <c:val>
            <c:numRef>
              <c:f>'B2 Graphik'!$J$94:$J$134</c:f>
              <c:numCache>
                <c:formatCode>0</c:formatCode>
                <c:ptCount val="41"/>
                <c:pt idx="0">
                  <c:v>30</c:v>
                </c:pt>
                <c:pt idx="1">
                  <c:v>30</c:v>
                </c:pt>
                <c:pt idx="2">
                  <c:v>30</c:v>
                </c:pt>
                <c:pt idx="3">
                  <c:v>30</c:v>
                </c:pt>
                <c:pt idx="4">
                  <c:v>30</c:v>
                </c:pt>
                <c:pt idx="5">
                  <c:v>30</c:v>
                </c:pt>
                <c:pt idx="6">
                  <c:v>30</c:v>
                </c:pt>
                <c:pt idx="7">
                  <c:v>30</c:v>
                </c:pt>
                <c:pt idx="8">
                  <c:v>30</c:v>
                </c:pt>
                <c:pt idx="9">
                  <c:v>30</c:v>
                </c:pt>
                <c:pt idx="10">
                  <c:v>30</c:v>
                </c:pt>
                <c:pt idx="11">
                  <c:v>30</c:v>
                </c:pt>
                <c:pt idx="12">
                  <c:v>30</c:v>
                </c:pt>
                <c:pt idx="13">
                  <c:v>28.333333333333336</c:v>
                </c:pt>
                <c:pt idx="14">
                  <c:v>26.666666666666668</c:v>
                </c:pt>
                <c:pt idx="15">
                  <c:v>25</c:v>
                </c:pt>
                <c:pt idx="16">
                  <c:v>23.333333333333336</c:v>
                </c:pt>
                <c:pt idx="17">
                  <c:v>21.666666666666668</c:v>
                </c:pt>
                <c:pt idx="18">
                  <c:v>20</c:v>
                </c:pt>
                <c:pt idx="19">
                  <c:v>18.333333333333336</c:v>
                </c:pt>
                <c:pt idx="20">
                  <c:v>16.666666666666668</c:v>
                </c:pt>
                <c:pt idx="21">
                  <c:v>15</c:v>
                </c:pt>
                <c:pt idx="22">
                  <c:v>13.333333333333334</c:v>
                </c:pt>
                <c:pt idx="23">
                  <c:v>11.666666666666668</c:v>
                </c:pt>
                <c:pt idx="24">
                  <c:v>10</c:v>
                </c:pt>
                <c:pt idx="25">
                  <c:v>8.3333333333333339</c:v>
                </c:pt>
                <c:pt idx="26">
                  <c:v>6.666666666666667</c:v>
                </c:pt>
                <c:pt idx="27">
                  <c:v>5</c:v>
                </c:pt>
                <c:pt idx="28">
                  <c:v>3.3333333333333335</c:v>
                </c:pt>
                <c:pt idx="29">
                  <c:v>1.6666666666666667</c:v>
                </c:pt>
                <c:pt idx="30">
                  <c:v>0</c:v>
                </c:pt>
                <c:pt idx="31">
                  <c:v>0</c:v>
                </c:pt>
                <c:pt idx="32">
                  <c:v>0</c:v>
                </c:pt>
                <c:pt idx="33">
                  <c:v>0</c:v>
                </c:pt>
                <c:pt idx="34">
                  <c:v>0</c:v>
                </c:pt>
                <c:pt idx="35">
                  <c:v>0</c:v>
                </c:pt>
                <c:pt idx="36">
                  <c:v>0</c:v>
                </c:pt>
                <c:pt idx="37">
                  <c:v>0</c:v>
                </c:pt>
                <c:pt idx="38">
                  <c:v>0</c:v>
                </c:pt>
                <c:pt idx="39">
                  <c:v>0</c:v>
                </c:pt>
                <c:pt idx="40">
                  <c:v>0</c:v>
                </c:pt>
              </c:numCache>
            </c:numRef>
          </c:val>
          <c:smooth val="0"/>
          <c:extLst>
            <c:ext xmlns:c16="http://schemas.microsoft.com/office/drawing/2014/chart" uri="{C3380CC4-5D6E-409C-BE32-E72D297353CC}">
              <c16:uniqueId val="{00000000-CEFD-4797-A16A-150470EB7748}"/>
            </c:ext>
          </c:extLst>
        </c:ser>
        <c:dLbls>
          <c:showLegendKey val="0"/>
          <c:showVal val="0"/>
          <c:showCatName val="0"/>
          <c:showSerName val="0"/>
          <c:showPercent val="0"/>
          <c:showBubbleSize val="0"/>
        </c:dLbls>
        <c:smooth val="0"/>
        <c:axId val="104017064"/>
        <c:axId val="104017456"/>
      </c:lineChart>
      <c:catAx>
        <c:axId val="104017064"/>
        <c:scaling>
          <c:orientation val="minMax"/>
        </c:scaling>
        <c:delete val="0"/>
        <c:axPos val="b"/>
        <c:title>
          <c:tx>
            <c:rich>
              <a:bodyPr/>
              <a:lstStyle/>
              <a:p>
                <a:pPr>
                  <a:defRPr/>
                </a:pPr>
                <a:r>
                  <a:rPr lang="de-DE" sz="1200" b="1" i="0" u="none" strike="noStrike" baseline="0">
                    <a:effectLst/>
                    <a:latin typeface="Arial" panose="020B0604020202020204" pitchFamily="34" charset="0"/>
                    <a:cs typeface="Arial" panose="020B0604020202020204" pitchFamily="34" charset="0"/>
                  </a:rPr>
                  <a:t>KB</a:t>
                </a:r>
                <a:r>
                  <a:rPr lang="de-DE" sz="1200" b="1" i="0" u="none" strike="noStrike" baseline="-25000">
                    <a:effectLst/>
                    <a:latin typeface="Arial" panose="020B0604020202020204" pitchFamily="34" charset="0"/>
                    <a:cs typeface="Arial" panose="020B0604020202020204" pitchFamily="34" charset="0"/>
                  </a:rPr>
                  <a:t>SK</a:t>
                </a:r>
                <a:r>
                  <a:rPr lang="en-US">
                    <a:latin typeface="Arial"/>
                    <a:cs typeface="Arial"/>
                  </a:rPr>
                  <a:t> in</a:t>
                </a:r>
                <a:r>
                  <a:rPr lang="en-US" baseline="0">
                    <a:latin typeface="Arial"/>
                    <a:cs typeface="Arial"/>
                  </a:rPr>
                  <a:t> </a:t>
                </a:r>
                <a:r>
                  <a:rPr lang="en-US">
                    <a:latin typeface="Arial"/>
                    <a:cs typeface="Arial"/>
                  </a:rPr>
                  <a:t>kWh/(m²a)</a:t>
                </a:r>
                <a:endParaRPr lang="en-US"/>
              </a:p>
            </c:rich>
          </c:tx>
          <c:overlay val="0"/>
        </c:title>
        <c:numFmt formatCode="0" sourceLinked="1"/>
        <c:majorTickMark val="out"/>
        <c:minorTickMark val="none"/>
        <c:tickLblPos val="nextTo"/>
        <c:crossAx val="104017456"/>
        <c:crosses val="autoZero"/>
        <c:auto val="1"/>
        <c:lblAlgn val="ctr"/>
        <c:lblOffset val="100"/>
        <c:tickLblSkip val="2"/>
        <c:tickMarkSkip val="1"/>
        <c:noMultiLvlLbl val="0"/>
      </c:catAx>
      <c:valAx>
        <c:axId val="104017456"/>
        <c:scaling>
          <c:orientation val="minMax"/>
        </c:scaling>
        <c:delete val="0"/>
        <c:axPos val="l"/>
        <c:majorGridlines/>
        <c:title>
          <c:tx>
            <c:rich>
              <a:bodyPr rot="-5400000" vert="horz"/>
              <a:lstStyle/>
              <a:p>
                <a:pPr>
                  <a:defRPr/>
                </a:pPr>
                <a:r>
                  <a:rPr lang="en-US">
                    <a:latin typeface="Arial"/>
                    <a:cs typeface="Arial"/>
                  </a:rPr>
                  <a:t>Punktevergabe</a:t>
                </a:r>
                <a:endParaRPr lang="en-US"/>
              </a:p>
            </c:rich>
          </c:tx>
          <c:overlay val="0"/>
        </c:title>
        <c:numFmt formatCode="0" sourceLinked="1"/>
        <c:majorTickMark val="out"/>
        <c:minorTickMark val="none"/>
        <c:tickLblPos val="nextTo"/>
        <c:crossAx val="104017064"/>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a:solidFill>
                  <a:srgbClr val="000000"/>
                </a:solidFill>
                <a:latin typeface="Calibri"/>
                <a:ea typeface="Calibri"/>
                <a:cs typeface="Calibri"/>
              </a:defRPr>
            </a:pPr>
            <a:r>
              <a:rPr lang="de-DE" sz="1800" b="1" i="0" u="none" strike="noStrike" baseline="0">
                <a:effectLst/>
                <a:latin typeface="Arial" panose="020B0604020202020204" pitchFamily="34" charset="0"/>
                <a:cs typeface="Arial" panose="020B0604020202020204" pitchFamily="34" charset="0"/>
              </a:rPr>
              <a:t>Primärenergiebedarf PEB</a:t>
            </a:r>
            <a:r>
              <a:rPr lang="de-DE" sz="1800" b="1" i="0" u="none" strike="noStrike" baseline="-25000">
                <a:effectLst/>
                <a:latin typeface="Arial" panose="020B0604020202020204" pitchFamily="34" charset="0"/>
                <a:cs typeface="Arial" panose="020B0604020202020204" pitchFamily="34" charset="0"/>
              </a:rPr>
              <a:t>SK</a:t>
            </a:r>
            <a:r>
              <a:rPr lang="de-DE" sz="1800" b="1" i="0" u="none" strike="noStrike" baseline="0">
                <a:effectLst/>
                <a:latin typeface="Arial" panose="020B0604020202020204" pitchFamily="34" charset="0"/>
                <a:cs typeface="Arial" panose="020B0604020202020204" pitchFamily="34" charset="0"/>
              </a:rPr>
              <a:t> Sanierung</a:t>
            </a:r>
            <a:endParaRPr lang="de-DE"/>
          </a:p>
        </c:rich>
      </c:tx>
      <c:overlay val="0"/>
    </c:title>
    <c:autoTitleDeleted val="0"/>
    <c:plotArea>
      <c:layout/>
      <c:lineChart>
        <c:grouping val="standard"/>
        <c:varyColors val="0"/>
        <c:ser>
          <c:idx val="0"/>
          <c:order val="0"/>
          <c:tx>
            <c:strRef>
              <c:f>'B2 Graphik'!$AC$92:$AD$92</c:f>
              <c:strCache>
                <c:ptCount val="1"/>
                <c:pt idx="0">
                  <c:v>Sanierung</c:v>
                </c:pt>
              </c:strCache>
            </c:strRef>
          </c:tx>
          <c:spPr>
            <a:ln w="28575">
              <a:solidFill>
                <a:schemeClr val="accent6">
                  <a:lumMod val="75000"/>
                </a:schemeClr>
              </a:solidFill>
            </a:ln>
          </c:spPr>
          <c:marker>
            <c:symbol val="none"/>
          </c:marker>
          <c:cat>
            <c:numRef>
              <c:f>'B2 Graphik'!$AC$94:$AC$244</c:f>
              <c:numCache>
                <c:formatCode>0</c:formatCode>
                <c:ptCount val="1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numCache>
            </c:numRef>
          </c:cat>
          <c:val>
            <c:numRef>
              <c:f>'B2 Graphik'!$AD$94:$AD$244</c:f>
              <c:numCache>
                <c:formatCode>0</c:formatCode>
                <c:ptCount val="151"/>
                <c:pt idx="0">
                  <c:v>120</c:v>
                </c:pt>
                <c:pt idx="1">
                  <c:v>120</c:v>
                </c:pt>
                <c:pt idx="2">
                  <c:v>120</c:v>
                </c:pt>
                <c:pt idx="3">
                  <c:v>120</c:v>
                </c:pt>
                <c:pt idx="4">
                  <c:v>120</c:v>
                </c:pt>
                <c:pt idx="5">
                  <c:v>120</c:v>
                </c:pt>
                <c:pt idx="6">
                  <c:v>120</c:v>
                </c:pt>
                <c:pt idx="7">
                  <c:v>120</c:v>
                </c:pt>
                <c:pt idx="8">
                  <c:v>120</c:v>
                </c:pt>
                <c:pt idx="9">
                  <c:v>120</c:v>
                </c:pt>
                <c:pt idx="10">
                  <c:v>120</c:v>
                </c:pt>
                <c:pt idx="11">
                  <c:v>120</c:v>
                </c:pt>
                <c:pt idx="12">
                  <c:v>120</c:v>
                </c:pt>
                <c:pt idx="13">
                  <c:v>120</c:v>
                </c:pt>
                <c:pt idx="14">
                  <c:v>120</c:v>
                </c:pt>
                <c:pt idx="15">
                  <c:v>120</c:v>
                </c:pt>
                <c:pt idx="16">
                  <c:v>120</c:v>
                </c:pt>
                <c:pt idx="17">
                  <c:v>120</c:v>
                </c:pt>
                <c:pt idx="18">
                  <c:v>120</c:v>
                </c:pt>
                <c:pt idx="19">
                  <c:v>120</c:v>
                </c:pt>
                <c:pt idx="20">
                  <c:v>120</c:v>
                </c:pt>
                <c:pt idx="21">
                  <c:v>120</c:v>
                </c:pt>
                <c:pt idx="22">
                  <c:v>120</c:v>
                </c:pt>
                <c:pt idx="23">
                  <c:v>120</c:v>
                </c:pt>
                <c:pt idx="24">
                  <c:v>120</c:v>
                </c:pt>
                <c:pt idx="25">
                  <c:v>120</c:v>
                </c:pt>
                <c:pt idx="26">
                  <c:v>120</c:v>
                </c:pt>
                <c:pt idx="27">
                  <c:v>120</c:v>
                </c:pt>
                <c:pt idx="28">
                  <c:v>120</c:v>
                </c:pt>
                <c:pt idx="29">
                  <c:v>120</c:v>
                </c:pt>
                <c:pt idx="30">
                  <c:v>120</c:v>
                </c:pt>
                <c:pt idx="31">
                  <c:v>120</c:v>
                </c:pt>
                <c:pt idx="32">
                  <c:v>120</c:v>
                </c:pt>
                <c:pt idx="33">
                  <c:v>120</c:v>
                </c:pt>
                <c:pt idx="34">
                  <c:v>120</c:v>
                </c:pt>
                <c:pt idx="35">
                  <c:v>120</c:v>
                </c:pt>
                <c:pt idx="36">
                  <c:v>120</c:v>
                </c:pt>
                <c:pt idx="37">
                  <c:v>120</c:v>
                </c:pt>
                <c:pt idx="38">
                  <c:v>120</c:v>
                </c:pt>
                <c:pt idx="39">
                  <c:v>120</c:v>
                </c:pt>
                <c:pt idx="40">
                  <c:v>120</c:v>
                </c:pt>
                <c:pt idx="41">
                  <c:v>120</c:v>
                </c:pt>
                <c:pt idx="42">
                  <c:v>120</c:v>
                </c:pt>
                <c:pt idx="43">
                  <c:v>120</c:v>
                </c:pt>
                <c:pt idx="44">
                  <c:v>118.83495145631068</c:v>
                </c:pt>
                <c:pt idx="45">
                  <c:v>117.66990291262135</c:v>
                </c:pt>
                <c:pt idx="46">
                  <c:v>116.50485436893203</c:v>
                </c:pt>
                <c:pt idx="47">
                  <c:v>115.33980582524271</c:v>
                </c:pt>
                <c:pt idx="48">
                  <c:v>114.1747572815534</c:v>
                </c:pt>
                <c:pt idx="49">
                  <c:v>113.00970873786407</c:v>
                </c:pt>
                <c:pt idx="50">
                  <c:v>111.84466019417475</c:v>
                </c:pt>
                <c:pt idx="51">
                  <c:v>110.67961165048543</c:v>
                </c:pt>
                <c:pt idx="52">
                  <c:v>109.5145631067961</c:v>
                </c:pt>
                <c:pt idx="53">
                  <c:v>108.34951456310679</c:v>
                </c:pt>
                <c:pt idx="54">
                  <c:v>107.18446601941747</c:v>
                </c:pt>
                <c:pt idx="55">
                  <c:v>106.01941747572815</c:v>
                </c:pt>
                <c:pt idx="56">
                  <c:v>104.85436893203882</c:v>
                </c:pt>
                <c:pt idx="57">
                  <c:v>103.68932038834951</c:v>
                </c:pt>
                <c:pt idx="58">
                  <c:v>102.52427184466019</c:v>
                </c:pt>
                <c:pt idx="59">
                  <c:v>101.35922330097087</c:v>
                </c:pt>
                <c:pt idx="60">
                  <c:v>100.19417475728154</c:v>
                </c:pt>
                <c:pt idx="61">
                  <c:v>99.029126213592221</c:v>
                </c:pt>
                <c:pt idx="62">
                  <c:v>97.864077669902912</c:v>
                </c:pt>
                <c:pt idx="63">
                  <c:v>96.699029126213588</c:v>
                </c:pt>
                <c:pt idx="64">
                  <c:v>95.533980582524265</c:v>
                </c:pt>
                <c:pt idx="65">
                  <c:v>94.368932038834942</c:v>
                </c:pt>
                <c:pt idx="66">
                  <c:v>93.203883495145618</c:v>
                </c:pt>
                <c:pt idx="67">
                  <c:v>92.038834951456309</c:v>
                </c:pt>
                <c:pt idx="68">
                  <c:v>90.873786407766985</c:v>
                </c:pt>
                <c:pt idx="69">
                  <c:v>89.708737864077662</c:v>
                </c:pt>
                <c:pt idx="70">
                  <c:v>88.543689320388339</c:v>
                </c:pt>
                <c:pt idx="71">
                  <c:v>87.378640776699029</c:v>
                </c:pt>
                <c:pt idx="72">
                  <c:v>86.213592233009706</c:v>
                </c:pt>
                <c:pt idx="73">
                  <c:v>85.048543689320383</c:v>
                </c:pt>
                <c:pt idx="74">
                  <c:v>83.883495145631059</c:v>
                </c:pt>
                <c:pt idx="75">
                  <c:v>82.718446601941736</c:v>
                </c:pt>
                <c:pt idx="76">
                  <c:v>81.553398058252426</c:v>
                </c:pt>
                <c:pt idx="77">
                  <c:v>80.388349514563103</c:v>
                </c:pt>
                <c:pt idx="78">
                  <c:v>79.22330097087378</c:v>
                </c:pt>
                <c:pt idx="79">
                  <c:v>78.058252427184456</c:v>
                </c:pt>
                <c:pt idx="80">
                  <c:v>76.893203883495147</c:v>
                </c:pt>
                <c:pt idx="81">
                  <c:v>75.728155339805824</c:v>
                </c:pt>
                <c:pt idx="82">
                  <c:v>74.5631067961165</c:v>
                </c:pt>
                <c:pt idx="83">
                  <c:v>73.398058252427177</c:v>
                </c:pt>
                <c:pt idx="84">
                  <c:v>72.233009708737853</c:v>
                </c:pt>
                <c:pt idx="85">
                  <c:v>71.067961165048544</c:v>
                </c:pt>
                <c:pt idx="86">
                  <c:v>69.902912621359221</c:v>
                </c:pt>
                <c:pt idx="87">
                  <c:v>68.737864077669897</c:v>
                </c:pt>
                <c:pt idx="88">
                  <c:v>67.572815533980574</c:v>
                </c:pt>
                <c:pt idx="89">
                  <c:v>66.407766990291265</c:v>
                </c:pt>
                <c:pt idx="90">
                  <c:v>65.242718446601941</c:v>
                </c:pt>
                <c:pt idx="91">
                  <c:v>64.077669902912618</c:v>
                </c:pt>
                <c:pt idx="92">
                  <c:v>62.912621359223294</c:v>
                </c:pt>
                <c:pt idx="93">
                  <c:v>61.747572815533978</c:v>
                </c:pt>
                <c:pt idx="94">
                  <c:v>60.582524271844655</c:v>
                </c:pt>
                <c:pt idx="95">
                  <c:v>59.417475728155338</c:v>
                </c:pt>
                <c:pt idx="96">
                  <c:v>58.252427184466015</c:v>
                </c:pt>
                <c:pt idx="97">
                  <c:v>57.087378640776699</c:v>
                </c:pt>
                <c:pt idx="98">
                  <c:v>55.922330097087375</c:v>
                </c:pt>
                <c:pt idx="99">
                  <c:v>54.757281553398052</c:v>
                </c:pt>
                <c:pt idx="100">
                  <c:v>53.592233009708735</c:v>
                </c:pt>
                <c:pt idx="101">
                  <c:v>52.427184466019412</c:v>
                </c:pt>
                <c:pt idx="102">
                  <c:v>51.262135922330096</c:v>
                </c:pt>
                <c:pt idx="103">
                  <c:v>50.097087378640772</c:v>
                </c:pt>
                <c:pt idx="104">
                  <c:v>48.932038834951456</c:v>
                </c:pt>
                <c:pt idx="105">
                  <c:v>47.766990291262132</c:v>
                </c:pt>
                <c:pt idx="106">
                  <c:v>46.601941747572809</c:v>
                </c:pt>
                <c:pt idx="107">
                  <c:v>45.436893203883493</c:v>
                </c:pt>
                <c:pt idx="108">
                  <c:v>44.271844660194169</c:v>
                </c:pt>
                <c:pt idx="109">
                  <c:v>43.106796116504853</c:v>
                </c:pt>
                <c:pt idx="110">
                  <c:v>41.94174757281553</c:v>
                </c:pt>
                <c:pt idx="111">
                  <c:v>40.776699029126213</c:v>
                </c:pt>
                <c:pt idx="112">
                  <c:v>39.61165048543689</c:v>
                </c:pt>
                <c:pt idx="113">
                  <c:v>38.446601941747574</c:v>
                </c:pt>
                <c:pt idx="114">
                  <c:v>37.28155339805825</c:v>
                </c:pt>
                <c:pt idx="115">
                  <c:v>36.116504854368927</c:v>
                </c:pt>
                <c:pt idx="116">
                  <c:v>34.95145631067961</c:v>
                </c:pt>
                <c:pt idx="117">
                  <c:v>33.786407766990287</c:v>
                </c:pt>
                <c:pt idx="118">
                  <c:v>32.621359223300971</c:v>
                </c:pt>
                <c:pt idx="119">
                  <c:v>31.456310679611647</c:v>
                </c:pt>
                <c:pt idx="120">
                  <c:v>30.291262135922327</c:v>
                </c:pt>
                <c:pt idx="121">
                  <c:v>29.126213592233007</c:v>
                </c:pt>
                <c:pt idx="122">
                  <c:v>27.961165048543688</c:v>
                </c:pt>
                <c:pt idx="123">
                  <c:v>26.796116504854368</c:v>
                </c:pt>
                <c:pt idx="124">
                  <c:v>25.631067961165048</c:v>
                </c:pt>
                <c:pt idx="125">
                  <c:v>24.466019417475728</c:v>
                </c:pt>
                <c:pt idx="126">
                  <c:v>23.300970873786405</c:v>
                </c:pt>
                <c:pt idx="127">
                  <c:v>22.135922330097085</c:v>
                </c:pt>
                <c:pt idx="128">
                  <c:v>20.970873786407765</c:v>
                </c:pt>
                <c:pt idx="129">
                  <c:v>19.805825242718445</c:v>
                </c:pt>
                <c:pt idx="130">
                  <c:v>18.640776699029125</c:v>
                </c:pt>
                <c:pt idx="131">
                  <c:v>17.475728155339805</c:v>
                </c:pt>
                <c:pt idx="132">
                  <c:v>16.310679611650485</c:v>
                </c:pt>
                <c:pt idx="133">
                  <c:v>15.145631067961164</c:v>
                </c:pt>
                <c:pt idx="134">
                  <c:v>13.980582524271844</c:v>
                </c:pt>
                <c:pt idx="135">
                  <c:v>12.815533980582524</c:v>
                </c:pt>
                <c:pt idx="136">
                  <c:v>11.650485436893202</c:v>
                </c:pt>
                <c:pt idx="137">
                  <c:v>10.485436893203882</c:v>
                </c:pt>
                <c:pt idx="138">
                  <c:v>9.3203883495145625</c:v>
                </c:pt>
                <c:pt idx="139">
                  <c:v>8.1553398058252426</c:v>
                </c:pt>
                <c:pt idx="140">
                  <c:v>6.9902912621359219</c:v>
                </c:pt>
                <c:pt idx="141">
                  <c:v>5.8252427184466011</c:v>
                </c:pt>
                <c:pt idx="142">
                  <c:v>4.6601941747572813</c:v>
                </c:pt>
                <c:pt idx="143">
                  <c:v>3.4951456310679609</c:v>
                </c:pt>
                <c:pt idx="144">
                  <c:v>2.3300970873786406</c:v>
                </c:pt>
                <c:pt idx="145">
                  <c:v>1.1650485436893203</c:v>
                </c:pt>
                <c:pt idx="146">
                  <c:v>0</c:v>
                </c:pt>
                <c:pt idx="147">
                  <c:v>0</c:v>
                </c:pt>
                <c:pt idx="148">
                  <c:v>0</c:v>
                </c:pt>
                <c:pt idx="149">
                  <c:v>0</c:v>
                </c:pt>
                <c:pt idx="150">
                  <c:v>0</c:v>
                </c:pt>
              </c:numCache>
            </c:numRef>
          </c:val>
          <c:smooth val="0"/>
          <c:extLst>
            <c:ext xmlns:c16="http://schemas.microsoft.com/office/drawing/2014/chart" uri="{C3380CC4-5D6E-409C-BE32-E72D297353CC}">
              <c16:uniqueId val="{00000000-229B-4CB9-B9C3-4D579C85BBE2}"/>
            </c:ext>
          </c:extLst>
        </c:ser>
        <c:dLbls>
          <c:showLegendKey val="0"/>
          <c:showVal val="0"/>
          <c:showCatName val="0"/>
          <c:showSerName val="0"/>
          <c:showPercent val="0"/>
          <c:showBubbleSize val="0"/>
        </c:dLbls>
        <c:smooth val="0"/>
        <c:axId val="103371008"/>
        <c:axId val="103371792"/>
      </c:lineChart>
      <c:catAx>
        <c:axId val="103371008"/>
        <c:scaling>
          <c:orientation val="minMax"/>
        </c:scaling>
        <c:delete val="0"/>
        <c:axPos val="b"/>
        <c:title>
          <c:tx>
            <c:rich>
              <a:bodyPr/>
              <a:lstStyle/>
              <a:p>
                <a:pPr>
                  <a:defRPr sz="1000" b="1" i="0" u="none" strike="noStrike">
                    <a:solidFill>
                      <a:srgbClr val="000000"/>
                    </a:solidFill>
                    <a:latin typeface="Calibri"/>
                    <a:ea typeface="Calibri"/>
                    <a:cs typeface="Calibri"/>
                  </a:defRPr>
                </a:pPr>
                <a:r>
                  <a:rPr lang="de-DE" sz="1200" b="1" i="0" u="none" strike="noStrike" baseline="0">
                    <a:effectLst/>
                    <a:latin typeface="Arial" panose="020B0604020202020204" pitchFamily="34" charset="0"/>
                    <a:cs typeface="Arial" panose="020B0604020202020204" pitchFamily="34" charset="0"/>
                  </a:rPr>
                  <a:t>PEB</a:t>
                </a:r>
                <a:r>
                  <a:rPr lang="de-DE" sz="1200" b="1" i="0" u="none" strike="noStrike" baseline="-25000">
                    <a:effectLst/>
                    <a:latin typeface="Arial" panose="020B0604020202020204" pitchFamily="34" charset="0"/>
                    <a:cs typeface="Arial" panose="020B0604020202020204" pitchFamily="34" charset="0"/>
                  </a:rPr>
                  <a:t>SK</a:t>
                </a:r>
                <a:r>
                  <a:rPr lang="de-DE">
                    <a:latin typeface="Arial"/>
                    <a:cs typeface="Arial"/>
                  </a:rPr>
                  <a:t> in</a:t>
                </a:r>
                <a:r>
                  <a:rPr lang="de-DE" baseline="0">
                    <a:latin typeface="Arial"/>
                    <a:cs typeface="Arial"/>
                  </a:rPr>
                  <a:t> </a:t>
                </a:r>
                <a:r>
                  <a:rPr lang="de-DE">
                    <a:latin typeface="Arial"/>
                    <a:cs typeface="Arial"/>
                  </a:rPr>
                  <a:t>kWh/(m²a)</a:t>
                </a:r>
                <a:endParaRPr lang="de-DE"/>
              </a:p>
            </c:rich>
          </c:tx>
          <c:overlay val="0"/>
        </c:title>
        <c:numFmt formatCode="0" sourceLinked="1"/>
        <c:majorTickMark val="out"/>
        <c:minorTickMark val="none"/>
        <c:tickLblPos val="nextTo"/>
        <c:txPr>
          <a:bodyPr rot="0" vert="horz" anchor="ctr" anchorCtr="0"/>
          <a:lstStyle/>
          <a:p>
            <a:pPr>
              <a:defRPr sz="1000" b="0" i="0" u="none" strike="noStrike">
                <a:solidFill>
                  <a:srgbClr val="000000"/>
                </a:solidFill>
                <a:latin typeface="Calibri"/>
                <a:ea typeface="Calibri"/>
                <a:cs typeface="Calibri"/>
              </a:defRPr>
            </a:pPr>
            <a:endParaRPr lang="de-DE"/>
          </a:p>
        </c:txPr>
        <c:crossAx val="103371792"/>
        <c:crosses val="autoZero"/>
        <c:auto val="0"/>
        <c:lblAlgn val="ctr"/>
        <c:lblOffset val="100"/>
        <c:tickLblSkip val="10"/>
        <c:tickMarkSkip val="5"/>
        <c:noMultiLvlLbl val="0"/>
      </c:catAx>
      <c:valAx>
        <c:axId val="103371792"/>
        <c:scaling>
          <c:orientation val="minMax"/>
        </c:scaling>
        <c:delete val="0"/>
        <c:axPos val="l"/>
        <c:majorGridlines/>
        <c:title>
          <c:tx>
            <c:rich>
              <a:bodyPr rot="-5400000" vert="horz"/>
              <a:lstStyle/>
              <a:p>
                <a:pPr>
                  <a:defRPr/>
                </a:pPr>
                <a:r>
                  <a:rPr lang="en-US" b="1">
                    <a:latin typeface="Arial"/>
                    <a:cs typeface="Arial"/>
                  </a:rPr>
                  <a:t>Punktevergabe</a:t>
                </a:r>
                <a:endParaRPr lang="en-US"/>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71008"/>
        <c:crosses val="autoZero"/>
        <c:crossBetween val="midCat"/>
        <c:majorUnit val="15"/>
        <c:minorUnit val="5"/>
      </c:valAx>
    </c:plotArea>
    <c:legend>
      <c:legendPos val="r"/>
      <c:overlay val="0"/>
      <c:txPr>
        <a:bodyPr/>
        <a:lstStyle/>
        <a:p>
          <a:pPr>
            <a:defRPr sz="900" b="0" i="0" u="none" strike="noStrike">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a:solidFill>
                  <a:srgbClr val="000000"/>
                </a:solidFill>
                <a:latin typeface="Calibri"/>
                <a:ea typeface="Calibri"/>
                <a:cs typeface="Calibri"/>
              </a:defRPr>
            </a:pPr>
            <a:r>
              <a:rPr lang="de-DE" sz="1800" b="1" i="0" u="none" strike="noStrike" baseline="0">
                <a:effectLst/>
                <a:latin typeface="Arial" panose="020B0604020202020204" pitchFamily="34" charset="0"/>
                <a:cs typeface="Arial" panose="020B0604020202020204" pitchFamily="34" charset="0"/>
              </a:rPr>
              <a:t>Emissionen CO</a:t>
            </a:r>
            <a:r>
              <a:rPr lang="de-DE" sz="1800" b="1" i="0" u="none" strike="noStrike" baseline="-25000">
                <a:effectLst/>
                <a:latin typeface="Arial" panose="020B0604020202020204" pitchFamily="34" charset="0"/>
                <a:cs typeface="Arial" panose="020B0604020202020204" pitchFamily="34" charset="0"/>
              </a:rPr>
              <a:t>2</a:t>
            </a:r>
            <a:r>
              <a:rPr lang="de-DE" sz="1800" b="1" i="0" u="none" strike="noStrike" baseline="0">
                <a:effectLst/>
                <a:latin typeface="Arial" panose="020B0604020202020204" pitchFamily="34" charset="0"/>
                <a:cs typeface="Arial" panose="020B0604020202020204" pitchFamily="34" charset="0"/>
              </a:rPr>
              <a:t>-Äquivalente</a:t>
            </a:r>
            <a:r>
              <a:rPr lang="de-DE" b="1">
                <a:latin typeface="Arial" panose="020B0604020202020204" pitchFamily="34" charset="0"/>
                <a:cs typeface="Arial" panose="020B0604020202020204" pitchFamily="34" charset="0"/>
              </a:rPr>
              <a:t> </a:t>
            </a:r>
            <a:r>
              <a:rPr lang="de-DE" b="1">
                <a:latin typeface="Arial"/>
                <a:cs typeface="Arial"/>
              </a:rPr>
              <a:t>Sanierung</a:t>
            </a:r>
            <a:endParaRPr lang="de-DE"/>
          </a:p>
        </c:rich>
      </c:tx>
      <c:overlay val="0"/>
    </c:title>
    <c:autoTitleDeleted val="0"/>
    <c:plotArea>
      <c:layout/>
      <c:lineChart>
        <c:grouping val="standard"/>
        <c:varyColors val="0"/>
        <c:ser>
          <c:idx val="0"/>
          <c:order val="0"/>
          <c:tx>
            <c:strRef>
              <c:f>'B2 Graphik'!$AF$92:$AG$92</c:f>
              <c:strCache>
                <c:ptCount val="1"/>
                <c:pt idx="0">
                  <c:v>Sanierung</c:v>
                </c:pt>
              </c:strCache>
            </c:strRef>
          </c:tx>
          <c:spPr>
            <a:ln w="28575">
              <a:solidFill>
                <a:schemeClr val="tx1">
                  <a:lumMod val="95000"/>
                  <a:lumOff val="5000"/>
                </a:schemeClr>
              </a:solidFill>
            </a:ln>
          </c:spPr>
          <c:marker>
            <c:symbol val="none"/>
          </c:marker>
          <c:cat>
            <c:numRef>
              <c:f>'B2 Graphik'!$AF$94:$AF$124</c:f>
              <c:numCache>
                <c:formatCode>0</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'B2 Graphik'!$AG$94:$AG$124</c:f>
              <c:numCache>
                <c:formatCode>0</c:formatCode>
                <c:ptCount val="31"/>
                <c:pt idx="0">
                  <c:v>135</c:v>
                </c:pt>
                <c:pt idx="1">
                  <c:v>129.375</c:v>
                </c:pt>
                <c:pt idx="2">
                  <c:v>123.75</c:v>
                </c:pt>
                <c:pt idx="3">
                  <c:v>118.125</c:v>
                </c:pt>
                <c:pt idx="4">
                  <c:v>112.5</c:v>
                </c:pt>
                <c:pt idx="5">
                  <c:v>106.875</c:v>
                </c:pt>
                <c:pt idx="6">
                  <c:v>101.25</c:v>
                </c:pt>
                <c:pt idx="7">
                  <c:v>95.625</c:v>
                </c:pt>
                <c:pt idx="8">
                  <c:v>90</c:v>
                </c:pt>
                <c:pt idx="9">
                  <c:v>84.375</c:v>
                </c:pt>
                <c:pt idx="10">
                  <c:v>78.75</c:v>
                </c:pt>
                <c:pt idx="11">
                  <c:v>73.125</c:v>
                </c:pt>
                <c:pt idx="12">
                  <c:v>67.5</c:v>
                </c:pt>
                <c:pt idx="13">
                  <c:v>61.875</c:v>
                </c:pt>
                <c:pt idx="14">
                  <c:v>56.25</c:v>
                </c:pt>
                <c:pt idx="15">
                  <c:v>50.625</c:v>
                </c:pt>
                <c:pt idx="16">
                  <c:v>45</c:v>
                </c:pt>
                <c:pt idx="17">
                  <c:v>39.375</c:v>
                </c:pt>
                <c:pt idx="18">
                  <c:v>33.75</c:v>
                </c:pt>
                <c:pt idx="19">
                  <c:v>28.125</c:v>
                </c:pt>
                <c:pt idx="20">
                  <c:v>22.5</c:v>
                </c:pt>
                <c:pt idx="21">
                  <c:v>16.875</c:v>
                </c:pt>
                <c:pt idx="22">
                  <c:v>11.25</c:v>
                </c:pt>
                <c:pt idx="23">
                  <c:v>5.625</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0-7253-43FC-BA82-60DCBE483191}"/>
            </c:ext>
          </c:extLst>
        </c:ser>
        <c:dLbls>
          <c:showLegendKey val="0"/>
          <c:showVal val="0"/>
          <c:showCatName val="0"/>
          <c:showSerName val="0"/>
          <c:showPercent val="0"/>
          <c:showBubbleSize val="0"/>
        </c:dLbls>
        <c:smooth val="0"/>
        <c:axId val="103372184"/>
        <c:axId val="103364736"/>
      </c:lineChart>
      <c:catAx>
        <c:axId val="103372184"/>
        <c:scaling>
          <c:orientation val="minMax"/>
        </c:scaling>
        <c:delete val="0"/>
        <c:axPos val="b"/>
        <c:title>
          <c:tx>
            <c:rich>
              <a:bodyPr/>
              <a:lstStyle/>
              <a:p>
                <a:pPr>
                  <a:defRPr sz="1000" b="1" i="0" u="none" strike="noStrike">
                    <a:solidFill>
                      <a:srgbClr val="000000"/>
                    </a:solidFill>
                    <a:latin typeface="Calibri"/>
                    <a:ea typeface="Calibri"/>
                    <a:cs typeface="Calibri"/>
                  </a:defRPr>
                </a:pPr>
                <a:r>
                  <a:rPr lang="de-DE">
                    <a:latin typeface="Arial"/>
                    <a:cs typeface="Arial"/>
                  </a:rPr>
                  <a:t>CO</a:t>
                </a:r>
                <a:r>
                  <a:rPr lang="de-DE" baseline="-25000">
                    <a:latin typeface="Arial"/>
                    <a:cs typeface="Arial"/>
                  </a:rPr>
                  <a:t>2</a:t>
                </a:r>
                <a:r>
                  <a:rPr lang="de-DE" baseline="0">
                    <a:latin typeface="Arial"/>
                    <a:cs typeface="Arial"/>
                  </a:rPr>
                  <a:t>-Äquivalente</a:t>
                </a:r>
                <a:r>
                  <a:rPr lang="de-DE">
                    <a:latin typeface="Arial"/>
                    <a:cs typeface="Arial"/>
                  </a:rPr>
                  <a:t> in</a:t>
                </a:r>
                <a:r>
                  <a:rPr lang="de-DE" baseline="0">
                    <a:latin typeface="Arial"/>
                    <a:cs typeface="Arial"/>
                  </a:rPr>
                  <a:t> </a:t>
                </a:r>
                <a:r>
                  <a:rPr lang="de-DE">
                    <a:latin typeface="Arial"/>
                    <a:cs typeface="Arial"/>
                  </a:rPr>
                  <a:t>kg/(m²a)</a:t>
                </a:r>
                <a:endParaRPr lang="de-DE"/>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64736"/>
        <c:crosses val="autoZero"/>
        <c:auto val="1"/>
        <c:lblAlgn val="ctr"/>
        <c:lblOffset val="100"/>
        <c:tickLblSkip val="2"/>
        <c:tickMarkSkip val="2"/>
        <c:noMultiLvlLbl val="0"/>
      </c:catAx>
      <c:valAx>
        <c:axId val="103364736"/>
        <c:scaling>
          <c:orientation val="minMax"/>
        </c:scaling>
        <c:delete val="0"/>
        <c:axPos val="l"/>
        <c:majorGridlines/>
        <c:title>
          <c:tx>
            <c:rich>
              <a:bodyPr rot="-5400000" vert="horz"/>
              <a:lstStyle/>
              <a:p>
                <a:pPr>
                  <a:defRPr/>
                </a:pPr>
                <a:r>
                  <a:rPr lang="en-US" b="1">
                    <a:latin typeface="Arial"/>
                    <a:cs typeface="Arial"/>
                  </a:rPr>
                  <a:t>Punktevergabe</a:t>
                </a:r>
                <a:endParaRPr lang="en-US"/>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72184"/>
        <c:crosses val="autoZero"/>
        <c:crossBetween val="midCat"/>
        <c:majorUnit val="15"/>
        <c:minorUnit val="5"/>
      </c:valAx>
    </c:plotArea>
    <c:legend>
      <c:legendPos val="r"/>
      <c:overlay val="0"/>
      <c:txPr>
        <a:bodyPr/>
        <a:lstStyle/>
        <a:p>
          <a:pPr>
            <a:defRPr sz="900" b="0" i="0" u="none" strike="noStrike">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a:solidFill>
            <a:srgbClr val="000000"/>
          </a:solidFill>
          <a:latin typeface="Calibri"/>
          <a:ea typeface="Calibri"/>
          <a:cs typeface="Calibri"/>
        </a:defRPr>
      </a:pPr>
      <a:endParaRPr lang="de-DE"/>
    </a:p>
  </c:txPr>
  <c:printSettings>
    <c:headerFooter/>
    <c:pageMargins b="0.78740157499999996" l="0.7000000000000004" r="0.7000000000000004" t="0.78740157499999996" header="0.30000000000000021" footer="0.3000000000000002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800" b="1" i="0" u="none" strike="noStrike" baseline="0">
                <a:effectLst/>
                <a:latin typeface="Arial" panose="020B0604020202020204" pitchFamily="34" charset="0"/>
                <a:cs typeface="Arial" panose="020B0604020202020204" pitchFamily="34" charset="0"/>
              </a:rPr>
              <a:t>Heizwärmebedarf HWB</a:t>
            </a:r>
            <a:r>
              <a:rPr lang="de-DE" sz="1800" b="1" i="0" u="none" strike="noStrike" baseline="-25000">
                <a:effectLst/>
                <a:latin typeface="Arial" panose="020B0604020202020204" pitchFamily="34" charset="0"/>
                <a:cs typeface="Arial" panose="020B0604020202020204" pitchFamily="34" charset="0"/>
              </a:rPr>
              <a:t>SK</a:t>
            </a:r>
            <a:r>
              <a:rPr lang="de-DE" sz="1800" b="1" i="0" u="none" strike="noStrike" baseline="0">
                <a:effectLst/>
                <a:latin typeface="Arial" panose="020B0604020202020204" pitchFamily="34" charset="0"/>
                <a:cs typeface="Arial" panose="020B0604020202020204" pitchFamily="34" charset="0"/>
              </a:rPr>
              <a:t> Sanierung</a:t>
            </a:r>
            <a:endParaRPr lang="en-US"/>
          </a:p>
        </c:rich>
      </c:tx>
      <c:layout>
        <c:manualLayout>
          <c:xMode val="edge"/>
          <c:yMode val="edge"/>
          <c:x val="0.26766993990420412"/>
          <c:y val="2.8709367014971822E-2"/>
        </c:manualLayout>
      </c:layout>
      <c:overlay val="0"/>
    </c:title>
    <c:autoTitleDeleted val="0"/>
    <c:plotArea>
      <c:layout/>
      <c:lineChart>
        <c:grouping val="standard"/>
        <c:varyColors val="0"/>
        <c:ser>
          <c:idx val="0"/>
          <c:order val="0"/>
          <c:tx>
            <c:strRef>
              <c:f>'B2 Graphik'!$T$92:$U$92</c:f>
              <c:strCache>
                <c:ptCount val="1"/>
                <c:pt idx="0">
                  <c:v>Sanierung</c:v>
                </c:pt>
              </c:strCache>
            </c:strRef>
          </c:tx>
          <c:spPr>
            <a:ln>
              <a:solidFill>
                <a:srgbClr val="C00000"/>
              </a:solidFill>
            </a:ln>
          </c:spPr>
          <c:marker>
            <c:symbol val="none"/>
          </c:marker>
          <c:cat>
            <c:numRef>
              <c:f>'B2 Graphik'!$T$94:$T$159</c:f>
              <c:numCache>
                <c:formatCode>0</c:formatCode>
                <c:ptCount val="6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numCache>
            </c:numRef>
          </c:cat>
          <c:val>
            <c:numRef>
              <c:f>'B2 Graphik'!$U$94:$U$159</c:f>
              <c:numCache>
                <c:formatCode>0</c:formatCode>
                <c:ptCount val="66"/>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24.375</c:v>
                </c:pt>
                <c:pt idx="24">
                  <c:v>23.75</c:v>
                </c:pt>
                <c:pt idx="25">
                  <c:v>23.125</c:v>
                </c:pt>
                <c:pt idx="26">
                  <c:v>22.5</c:v>
                </c:pt>
                <c:pt idx="27">
                  <c:v>21.875</c:v>
                </c:pt>
                <c:pt idx="28">
                  <c:v>21.25</c:v>
                </c:pt>
                <c:pt idx="29">
                  <c:v>20.625</c:v>
                </c:pt>
                <c:pt idx="30">
                  <c:v>20</c:v>
                </c:pt>
                <c:pt idx="31">
                  <c:v>19.375</c:v>
                </c:pt>
                <c:pt idx="32">
                  <c:v>18.75</c:v>
                </c:pt>
                <c:pt idx="33">
                  <c:v>18.125</c:v>
                </c:pt>
                <c:pt idx="34">
                  <c:v>17.5</c:v>
                </c:pt>
                <c:pt idx="35">
                  <c:v>16.875</c:v>
                </c:pt>
                <c:pt idx="36">
                  <c:v>16.25</c:v>
                </c:pt>
                <c:pt idx="37">
                  <c:v>15.625</c:v>
                </c:pt>
                <c:pt idx="38">
                  <c:v>15</c:v>
                </c:pt>
                <c:pt idx="39">
                  <c:v>14.375</c:v>
                </c:pt>
                <c:pt idx="40">
                  <c:v>13.75</c:v>
                </c:pt>
                <c:pt idx="41">
                  <c:v>13.125</c:v>
                </c:pt>
                <c:pt idx="42">
                  <c:v>12.5</c:v>
                </c:pt>
                <c:pt idx="43">
                  <c:v>11.875</c:v>
                </c:pt>
                <c:pt idx="44">
                  <c:v>11.25</c:v>
                </c:pt>
                <c:pt idx="45">
                  <c:v>10.625</c:v>
                </c:pt>
                <c:pt idx="46">
                  <c:v>10</c:v>
                </c:pt>
                <c:pt idx="47">
                  <c:v>9.375</c:v>
                </c:pt>
                <c:pt idx="48">
                  <c:v>8.75</c:v>
                </c:pt>
                <c:pt idx="49">
                  <c:v>8.125</c:v>
                </c:pt>
                <c:pt idx="50">
                  <c:v>7.5</c:v>
                </c:pt>
                <c:pt idx="51">
                  <c:v>6.875</c:v>
                </c:pt>
                <c:pt idx="52">
                  <c:v>6.25</c:v>
                </c:pt>
                <c:pt idx="53">
                  <c:v>5.625</c:v>
                </c:pt>
                <c:pt idx="54">
                  <c:v>5</c:v>
                </c:pt>
                <c:pt idx="55">
                  <c:v>4.375</c:v>
                </c:pt>
                <c:pt idx="56">
                  <c:v>3.75</c:v>
                </c:pt>
                <c:pt idx="57">
                  <c:v>3.125</c:v>
                </c:pt>
                <c:pt idx="58">
                  <c:v>2.5</c:v>
                </c:pt>
                <c:pt idx="59">
                  <c:v>1.875</c:v>
                </c:pt>
                <c:pt idx="60">
                  <c:v>1.25</c:v>
                </c:pt>
                <c:pt idx="61">
                  <c:v>0.625</c:v>
                </c:pt>
                <c:pt idx="62">
                  <c:v>0</c:v>
                </c:pt>
                <c:pt idx="63">
                  <c:v>0</c:v>
                </c:pt>
                <c:pt idx="64">
                  <c:v>0</c:v>
                </c:pt>
                <c:pt idx="65">
                  <c:v>0</c:v>
                </c:pt>
              </c:numCache>
            </c:numRef>
          </c:val>
          <c:smooth val="0"/>
          <c:extLst>
            <c:ext xmlns:c16="http://schemas.microsoft.com/office/drawing/2014/chart" uri="{C3380CC4-5D6E-409C-BE32-E72D297353CC}">
              <c16:uniqueId val="{00000000-4221-40B6-9450-4A5416A8C319}"/>
            </c:ext>
          </c:extLst>
        </c:ser>
        <c:dLbls>
          <c:showLegendKey val="0"/>
          <c:showVal val="0"/>
          <c:showCatName val="0"/>
          <c:showSerName val="0"/>
          <c:showPercent val="0"/>
          <c:showBubbleSize val="0"/>
        </c:dLbls>
        <c:smooth val="0"/>
        <c:axId val="103365520"/>
        <c:axId val="103366304"/>
      </c:lineChart>
      <c:catAx>
        <c:axId val="103365520"/>
        <c:scaling>
          <c:orientation val="minMax"/>
        </c:scaling>
        <c:delete val="0"/>
        <c:axPos val="b"/>
        <c:title>
          <c:tx>
            <c:rich>
              <a:bodyPr/>
              <a:lstStyle/>
              <a:p>
                <a:pPr>
                  <a:defRPr/>
                </a:pPr>
                <a:r>
                  <a:rPr lang="de-DE" sz="1200" b="1" i="0" u="none" strike="noStrike" baseline="0">
                    <a:effectLst/>
                    <a:latin typeface="Arial" panose="020B0604020202020204" pitchFamily="34" charset="0"/>
                    <a:cs typeface="Arial" panose="020B0604020202020204" pitchFamily="34" charset="0"/>
                  </a:rPr>
                  <a:t>HWB</a:t>
                </a:r>
                <a:r>
                  <a:rPr lang="de-DE" sz="1200" b="1" i="0" u="none" strike="noStrike" baseline="-25000">
                    <a:effectLst/>
                    <a:latin typeface="Arial" panose="020B0604020202020204" pitchFamily="34" charset="0"/>
                    <a:cs typeface="Arial" panose="020B0604020202020204" pitchFamily="34" charset="0"/>
                  </a:rPr>
                  <a:t>SK</a:t>
                </a:r>
                <a:r>
                  <a:rPr lang="en-US" sz="1200">
                    <a:latin typeface="Arial"/>
                    <a:cs typeface="Arial"/>
                  </a:rPr>
                  <a:t> </a:t>
                </a:r>
                <a:r>
                  <a:rPr lang="en-US" sz="1000">
                    <a:latin typeface="Arial"/>
                    <a:cs typeface="Arial"/>
                  </a:rPr>
                  <a:t>in</a:t>
                </a:r>
                <a:r>
                  <a:rPr lang="en-US" sz="1000" baseline="0">
                    <a:latin typeface="Arial"/>
                    <a:cs typeface="Arial"/>
                  </a:rPr>
                  <a:t> </a:t>
                </a:r>
                <a:r>
                  <a:rPr lang="en-US">
                    <a:latin typeface="Arial"/>
                    <a:cs typeface="Arial"/>
                  </a:rPr>
                  <a:t>kWh/(m²a)</a:t>
                </a:r>
                <a:endParaRPr lang="en-US"/>
              </a:p>
            </c:rich>
          </c:tx>
          <c:overlay val="0"/>
        </c:title>
        <c:numFmt formatCode="0" sourceLinked="1"/>
        <c:majorTickMark val="out"/>
        <c:minorTickMark val="none"/>
        <c:tickLblPos val="nextTo"/>
        <c:crossAx val="103366304"/>
        <c:crosses val="autoZero"/>
        <c:auto val="1"/>
        <c:lblAlgn val="ctr"/>
        <c:lblOffset val="100"/>
        <c:tickLblSkip val="4"/>
        <c:tickMarkSkip val="2"/>
        <c:noMultiLvlLbl val="0"/>
      </c:catAx>
      <c:valAx>
        <c:axId val="103366304"/>
        <c:scaling>
          <c:orientation val="minMax"/>
          <c:max val="40"/>
          <c:min val="0"/>
        </c:scaling>
        <c:delete val="0"/>
        <c:axPos val="l"/>
        <c:majorGridlines/>
        <c:title>
          <c:tx>
            <c:rich>
              <a:bodyPr rot="-5400000" vert="horz"/>
              <a:lstStyle/>
              <a:p>
                <a:pPr>
                  <a:defRPr/>
                </a:pPr>
                <a:r>
                  <a:rPr lang="en-US">
                    <a:latin typeface="Arial"/>
                    <a:cs typeface="Arial"/>
                  </a:rPr>
                  <a:t>Punktevergabe</a:t>
                </a:r>
                <a:endParaRPr lang="en-US"/>
              </a:p>
            </c:rich>
          </c:tx>
          <c:overlay val="0"/>
        </c:title>
        <c:numFmt formatCode="0" sourceLinked="1"/>
        <c:majorTickMark val="out"/>
        <c:minorTickMark val="none"/>
        <c:tickLblPos val="nextTo"/>
        <c:crossAx val="103365520"/>
        <c:crosses val="autoZero"/>
        <c:crossBetween val="midCat"/>
        <c:majorUnit val="10"/>
      </c:valAx>
    </c:plotArea>
    <c:legend>
      <c:legendPos val="r"/>
      <c:overlay val="0"/>
    </c:legend>
    <c:plotVisOnly val="1"/>
    <c:dispBlanksAs val="gap"/>
    <c:showDLblsOverMax val="0"/>
  </c:chart>
  <c:printSettings>
    <c:headerFooter/>
    <c:pageMargins b="0.78740157499999996" l="0.7" r="0.7" t="0.78740157499999996"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a:solidFill>
                  <a:srgbClr val="000000"/>
                </a:solidFill>
                <a:latin typeface="Calibri"/>
                <a:ea typeface="Calibri"/>
                <a:cs typeface="Calibri"/>
              </a:defRPr>
            </a:pPr>
            <a:r>
              <a:rPr lang="de-DE" sz="1800" b="1" i="0" u="none" strike="noStrike" baseline="0">
                <a:effectLst/>
                <a:latin typeface="Arial" panose="020B0604020202020204" pitchFamily="34" charset="0"/>
                <a:cs typeface="Arial" panose="020B0604020202020204" pitchFamily="34" charset="0"/>
              </a:rPr>
              <a:t>Emissionen CO</a:t>
            </a:r>
            <a:r>
              <a:rPr lang="de-DE" sz="1800" b="1" i="0" u="none" strike="noStrike" baseline="-25000">
                <a:effectLst/>
                <a:latin typeface="Arial" panose="020B0604020202020204" pitchFamily="34" charset="0"/>
                <a:cs typeface="Arial" panose="020B0604020202020204" pitchFamily="34" charset="0"/>
              </a:rPr>
              <a:t>2</a:t>
            </a:r>
            <a:r>
              <a:rPr lang="de-DE" sz="1800" b="1" i="0" u="none" strike="noStrike" baseline="0">
                <a:effectLst/>
                <a:latin typeface="Arial" panose="020B0604020202020204" pitchFamily="34" charset="0"/>
                <a:cs typeface="Arial" panose="020B0604020202020204" pitchFamily="34" charset="0"/>
              </a:rPr>
              <a:t>-Äquivalente</a:t>
            </a:r>
            <a:r>
              <a:rPr lang="de-DE" b="1">
                <a:latin typeface="Arial" panose="020B0604020202020204" pitchFamily="34" charset="0"/>
                <a:cs typeface="Arial" panose="020B0604020202020204" pitchFamily="34" charset="0"/>
              </a:rPr>
              <a:t> </a:t>
            </a:r>
            <a:r>
              <a:rPr lang="de-DE">
                <a:latin typeface="Arial"/>
                <a:cs typeface="Arial"/>
              </a:rPr>
              <a:t>Neubau</a:t>
            </a:r>
            <a:endParaRPr lang="de-DE"/>
          </a:p>
        </c:rich>
      </c:tx>
      <c:overlay val="0"/>
    </c:title>
    <c:autoTitleDeleted val="0"/>
    <c:plotArea>
      <c:layout/>
      <c:lineChart>
        <c:grouping val="standard"/>
        <c:varyColors val="0"/>
        <c:ser>
          <c:idx val="0"/>
          <c:order val="0"/>
          <c:tx>
            <c:strRef>
              <c:f>'B1 Graphik'!$L$74:$M$74</c:f>
              <c:strCache>
                <c:ptCount val="1"/>
                <c:pt idx="0">
                  <c:v>Neubau</c:v>
                </c:pt>
              </c:strCache>
            </c:strRef>
          </c:tx>
          <c:spPr>
            <a:prstGeom prst="rect">
              <a:avLst/>
            </a:prstGeom>
            <a:ln w="28575">
              <a:solidFill>
                <a:schemeClr val="tx1"/>
              </a:solidFill>
            </a:ln>
          </c:spPr>
          <c:marker>
            <c:symbol val="none"/>
          </c:marker>
          <c:cat>
            <c:numRef>
              <c:f>'B1 Graphik'!$L$76:$L$176</c:f>
              <c:numCache>
                <c:formatCode>0</c:formatCode>
                <c:ptCount val="10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numCache>
            </c:numRef>
          </c:cat>
          <c:val>
            <c:numRef>
              <c:f>'B1 Graphik'!$M$76:$M$176</c:f>
              <c:numCache>
                <c:formatCode>0</c:formatCode>
                <c:ptCount val="101"/>
                <c:pt idx="0">
                  <c:v>135</c:v>
                </c:pt>
                <c:pt idx="1">
                  <c:v>135</c:v>
                </c:pt>
                <c:pt idx="2">
                  <c:v>135</c:v>
                </c:pt>
                <c:pt idx="3">
                  <c:v>135</c:v>
                </c:pt>
                <c:pt idx="4">
                  <c:v>135</c:v>
                </c:pt>
                <c:pt idx="5">
                  <c:v>135</c:v>
                </c:pt>
                <c:pt idx="6">
                  <c:v>135</c:v>
                </c:pt>
                <c:pt idx="7">
                  <c:v>135</c:v>
                </c:pt>
                <c:pt idx="8">
                  <c:v>135</c:v>
                </c:pt>
                <c:pt idx="9">
                  <c:v>135</c:v>
                </c:pt>
                <c:pt idx="10">
                  <c:v>135</c:v>
                </c:pt>
                <c:pt idx="11">
                  <c:v>135</c:v>
                </c:pt>
                <c:pt idx="12">
                  <c:v>135</c:v>
                </c:pt>
                <c:pt idx="13">
                  <c:v>135</c:v>
                </c:pt>
                <c:pt idx="14">
                  <c:v>135</c:v>
                </c:pt>
                <c:pt idx="15">
                  <c:v>135</c:v>
                </c:pt>
                <c:pt idx="16">
                  <c:v>135</c:v>
                </c:pt>
                <c:pt idx="17">
                  <c:v>135</c:v>
                </c:pt>
                <c:pt idx="18">
                  <c:v>135</c:v>
                </c:pt>
                <c:pt idx="19">
                  <c:v>135</c:v>
                </c:pt>
                <c:pt idx="20">
                  <c:v>135</c:v>
                </c:pt>
                <c:pt idx="21">
                  <c:v>135</c:v>
                </c:pt>
                <c:pt idx="22">
                  <c:v>135</c:v>
                </c:pt>
                <c:pt idx="23">
                  <c:v>135</c:v>
                </c:pt>
                <c:pt idx="24">
                  <c:v>135</c:v>
                </c:pt>
                <c:pt idx="25">
                  <c:v>135</c:v>
                </c:pt>
                <c:pt idx="26">
                  <c:v>135</c:v>
                </c:pt>
                <c:pt idx="27">
                  <c:v>135</c:v>
                </c:pt>
                <c:pt idx="28">
                  <c:v>135</c:v>
                </c:pt>
                <c:pt idx="29">
                  <c:v>135</c:v>
                </c:pt>
                <c:pt idx="30">
                  <c:v>135</c:v>
                </c:pt>
                <c:pt idx="31">
                  <c:v>135</c:v>
                </c:pt>
                <c:pt idx="32">
                  <c:v>135</c:v>
                </c:pt>
                <c:pt idx="33">
                  <c:v>135</c:v>
                </c:pt>
                <c:pt idx="34">
                  <c:v>135</c:v>
                </c:pt>
                <c:pt idx="35">
                  <c:v>135</c:v>
                </c:pt>
                <c:pt idx="36">
                  <c:v>135</c:v>
                </c:pt>
                <c:pt idx="37">
                  <c:v>135</c:v>
                </c:pt>
                <c:pt idx="38">
                  <c:v>135</c:v>
                </c:pt>
                <c:pt idx="39">
                  <c:v>135</c:v>
                </c:pt>
                <c:pt idx="40">
                  <c:v>135</c:v>
                </c:pt>
                <c:pt idx="41">
                  <c:v>135</c:v>
                </c:pt>
                <c:pt idx="42">
                  <c:v>135</c:v>
                </c:pt>
                <c:pt idx="43">
                  <c:v>135</c:v>
                </c:pt>
                <c:pt idx="44">
                  <c:v>135</c:v>
                </c:pt>
                <c:pt idx="45">
                  <c:v>135</c:v>
                </c:pt>
                <c:pt idx="46">
                  <c:v>135</c:v>
                </c:pt>
                <c:pt idx="47">
                  <c:v>135</c:v>
                </c:pt>
                <c:pt idx="48">
                  <c:v>135</c:v>
                </c:pt>
                <c:pt idx="49">
                  <c:v>135</c:v>
                </c:pt>
                <c:pt idx="50">
                  <c:v>135</c:v>
                </c:pt>
                <c:pt idx="51">
                  <c:v>128.25</c:v>
                </c:pt>
                <c:pt idx="52">
                  <c:v>121.5</c:v>
                </c:pt>
                <c:pt idx="53">
                  <c:v>114.75</c:v>
                </c:pt>
                <c:pt idx="54">
                  <c:v>108</c:v>
                </c:pt>
                <c:pt idx="55">
                  <c:v>101.25</c:v>
                </c:pt>
                <c:pt idx="56">
                  <c:v>94.5</c:v>
                </c:pt>
                <c:pt idx="57">
                  <c:v>87.75</c:v>
                </c:pt>
                <c:pt idx="58">
                  <c:v>81</c:v>
                </c:pt>
                <c:pt idx="59">
                  <c:v>74.25</c:v>
                </c:pt>
                <c:pt idx="60">
                  <c:v>67.5</c:v>
                </c:pt>
                <c:pt idx="61">
                  <c:v>60.75</c:v>
                </c:pt>
                <c:pt idx="62">
                  <c:v>54</c:v>
                </c:pt>
                <c:pt idx="63">
                  <c:v>47.25</c:v>
                </c:pt>
                <c:pt idx="64">
                  <c:v>40.5</c:v>
                </c:pt>
                <c:pt idx="65">
                  <c:v>33.75</c:v>
                </c:pt>
                <c:pt idx="66">
                  <c:v>27</c:v>
                </c:pt>
                <c:pt idx="67">
                  <c:v>20.25</c:v>
                </c:pt>
                <c:pt idx="68">
                  <c:v>13.5</c:v>
                </c:pt>
                <c:pt idx="69">
                  <c:v>6.75</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numCache>
            </c:numRef>
          </c:val>
          <c:smooth val="0"/>
          <c:extLst>
            <c:ext xmlns:c16="http://schemas.microsoft.com/office/drawing/2014/chart" uri="{C3380CC4-5D6E-409C-BE32-E72D297353CC}">
              <c16:uniqueId val="{00000000-C718-4F9C-A22C-144649A457A5}"/>
            </c:ext>
          </c:extLst>
        </c:ser>
        <c:dLbls>
          <c:showLegendKey val="0"/>
          <c:showVal val="0"/>
          <c:showCatName val="0"/>
          <c:showSerName val="0"/>
          <c:showPercent val="0"/>
          <c:showBubbleSize val="0"/>
        </c:dLbls>
        <c:smooth val="0"/>
        <c:axId val="103372184"/>
        <c:axId val="103364736"/>
      </c:lineChart>
      <c:catAx>
        <c:axId val="103372184"/>
        <c:scaling>
          <c:orientation val="minMax"/>
        </c:scaling>
        <c:delete val="0"/>
        <c:axPos val="b"/>
        <c:title>
          <c:tx>
            <c:rich>
              <a:bodyPr/>
              <a:lstStyle/>
              <a:p>
                <a:pPr>
                  <a:defRPr sz="1000" b="1" i="0" u="none" strike="noStrike">
                    <a:solidFill>
                      <a:srgbClr val="000000"/>
                    </a:solidFill>
                    <a:latin typeface="Calibri"/>
                    <a:ea typeface="Calibri"/>
                    <a:cs typeface="Calibri"/>
                  </a:defRPr>
                </a:pPr>
                <a:r>
                  <a:rPr lang="de-DE">
                    <a:latin typeface="Arial"/>
                    <a:cs typeface="Arial"/>
                  </a:rPr>
                  <a:t>CO</a:t>
                </a:r>
                <a:r>
                  <a:rPr lang="de-DE" baseline="-25000">
                    <a:latin typeface="Arial"/>
                    <a:cs typeface="Arial"/>
                  </a:rPr>
                  <a:t>2</a:t>
                </a:r>
                <a:r>
                  <a:rPr lang="de-DE" baseline="0">
                    <a:latin typeface="Arial"/>
                    <a:cs typeface="Arial"/>
                  </a:rPr>
                  <a:t>-Äquivalente</a:t>
                </a:r>
                <a:r>
                  <a:rPr lang="de-DE">
                    <a:latin typeface="Arial"/>
                    <a:cs typeface="Arial"/>
                  </a:rPr>
                  <a:t> in</a:t>
                </a:r>
                <a:r>
                  <a:rPr lang="de-DE" baseline="0">
                    <a:latin typeface="Arial"/>
                    <a:cs typeface="Arial"/>
                  </a:rPr>
                  <a:t> </a:t>
                </a:r>
                <a:r>
                  <a:rPr lang="de-DE">
                    <a:latin typeface="Arial"/>
                    <a:cs typeface="Arial"/>
                  </a:rPr>
                  <a:t>kg/(m²a)</a:t>
                </a:r>
                <a:endParaRPr lang="de-DE"/>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64736"/>
        <c:crosses val="autoZero"/>
        <c:auto val="1"/>
        <c:lblAlgn val="ctr"/>
        <c:lblOffset val="100"/>
        <c:tickLblSkip val="5"/>
        <c:tickMarkSkip val="5"/>
        <c:noMultiLvlLbl val="0"/>
      </c:catAx>
      <c:valAx>
        <c:axId val="103364736"/>
        <c:scaling>
          <c:orientation val="minMax"/>
        </c:scaling>
        <c:delete val="0"/>
        <c:axPos val="l"/>
        <c:majorGridlines/>
        <c:title>
          <c:tx>
            <c:rich>
              <a:bodyPr rot="-5400000" vert="horz"/>
              <a:lstStyle/>
              <a:p>
                <a:pPr>
                  <a:defRPr/>
                </a:pPr>
                <a:r>
                  <a:rPr lang="en-US" b="1">
                    <a:latin typeface="Arial"/>
                    <a:cs typeface="Arial"/>
                  </a:rPr>
                  <a:t>Punktevergabe</a:t>
                </a:r>
                <a:endParaRPr lang="en-US"/>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72184"/>
        <c:crosses val="autoZero"/>
        <c:crossBetween val="midCat"/>
        <c:majorUnit val="15"/>
        <c:minorUnit val="5"/>
      </c:valAx>
    </c:plotArea>
    <c:legend>
      <c:legendPos val="r"/>
      <c:overlay val="0"/>
      <c:txPr>
        <a:bodyPr/>
        <a:lstStyle/>
        <a:p>
          <a:pPr>
            <a:defRPr sz="900" b="0" i="0" u="none" strike="noStrike">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a:solidFill>
            <a:srgbClr val="000000"/>
          </a:solidFill>
          <a:latin typeface="Calibri"/>
          <a:ea typeface="Calibri"/>
          <a:cs typeface="Calibri"/>
        </a:defRPr>
      </a:pPr>
      <a:endParaRPr lang="de-DE"/>
    </a:p>
  </c:txPr>
  <c:printSettings>
    <c:headerFooter/>
    <c:pageMargins b="0.78740157499999996" l="0.7000000000000004" r="0.7000000000000004" t="0.78740157499999996" header="0.30000000000000021" footer="0.3000000000000002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800" b="1" i="0" u="none" strike="noStrike" baseline="0">
                <a:effectLst/>
                <a:latin typeface="Arial" panose="020B0604020202020204" pitchFamily="34" charset="0"/>
                <a:cs typeface="Arial" panose="020B0604020202020204" pitchFamily="34" charset="0"/>
              </a:rPr>
              <a:t>Kühlbedarf KB</a:t>
            </a:r>
            <a:r>
              <a:rPr lang="de-DE" sz="1800" b="1" i="0" u="none" strike="noStrike" baseline="-25000">
                <a:effectLst/>
                <a:latin typeface="Arial" panose="020B0604020202020204" pitchFamily="34" charset="0"/>
                <a:cs typeface="Arial" panose="020B0604020202020204" pitchFamily="34" charset="0"/>
              </a:rPr>
              <a:t>SK</a:t>
            </a:r>
            <a:r>
              <a:rPr lang="de-DE" sz="1800" b="1" i="0" u="none" strike="noStrike" baseline="0">
                <a:effectLst/>
                <a:latin typeface="Arial" panose="020B0604020202020204" pitchFamily="34" charset="0"/>
                <a:cs typeface="Arial" panose="020B0604020202020204" pitchFamily="34" charset="0"/>
              </a:rPr>
              <a:t> Sanierung</a:t>
            </a:r>
            <a:endParaRPr lang="en-US"/>
          </a:p>
        </c:rich>
      </c:tx>
      <c:overlay val="0"/>
    </c:title>
    <c:autoTitleDeleted val="0"/>
    <c:plotArea>
      <c:layout/>
      <c:lineChart>
        <c:grouping val="standard"/>
        <c:varyColors val="0"/>
        <c:ser>
          <c:idx val="0"/>
          <c:order val="0"/>
          <c:tx>
            <c:strRef>
              <c:f>'B2 Graphik'!$Z$92:$AA$92</c:f>
              <c:strCache>
                <c:ptCount val="1"/>
                <c:pt idx="0">
                  <c:v>Sanierung</c:v>
                </c:pt>
              </c:strCache>
            </c:strRef>
          </c:tx>
          <c:marker>
            <c:symbol val="none"/>
          </c:marker>
          <c:cat>
            <c:numRef>
              <c:f>'B2 Graphik'!$Z$94:$Z$145</c:f>
              <c:numCache>
                <c:formatCode>0</c:formatCode>
                <c:ptCount val="52"/>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numCache>
            </c:numRef>
          </c:cat>
          <c:val>
            <c:numRef>
              <c:f>'B2 Graphik'!$AA$94:$AA$145</c:f>
              <c:numCache>
                <c:formatCode>0</c:formatCode>
                <c:ptCount val="52"/>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29</c:v>
                </c:pt>
                <c:pt idx="22">
                  <c:v>28</c:v>
                </c:pt>
                <c:pt idx="23">
                  <c:v>27</c:v>
                </c:pt>
                <c:pt idx="24">
                  <c:v>26</c:v>
                </c:pt>
                <c:pt idx="25">
                  <c:v>25</c:v>
                </c:pt>
                <c:pt idx="26">
                  <c:v>24</c:v>
                </c:pt>
                <c:pt idx="27">
                  <c:v>23</c:v>
                </c:pt>
                <c:pt idx="28">
                  <c:v>22</c:v>
                </c:pt>
                <c:pt idx="29">
                  <c:v>21</c:v>
                </c:pt>
                <c:pt idx="30">
                  <c:v>20</c:v>
                </c:pt>
                <c:pt idx="31">
                  <c:v>19</c:v>
                </c:pt>
                <c:pt idx="32">
                  <c:v>18</c:v>
                </c:pt>
                <c:pt idx="33">
                  <c:v>17</c:v>
                </c:pt>
                <c:pt idx="34">
                  <c:v>16</c:v>
                </c:pt>
                <c:pt idx="35">
                  <c:v>15</c:v>
                </c:pt>
                <c:pt idx="36">
                  <c:v>14</c:v>
                </c:pt>
                <c:pt idx="37">
                  <c:v>13</c:v>
                </c:pt>
                <c:pt idx="38">
                  <c:v>12</c:v>
                </c:pt>
                <c:pt idx="39">
                  <c:v>11</c:v>
                </c:pt>
                <c:pt idx="40">
                  <c:v>10</c:v>
                </c:pt>
                <c:pt idx="41">
                  <c:v>9</c:v>
                </c:pt>
                <c:pt idx="42">
                  <c:v>8</c:v>
                </c:pt>
                <c:pt idx="43">
                  <c:v>7</c:v>
                </c:pt>
                <c:pt idx="44">
                  <c:v>6</c:v>
                </c:pt>
                <c:pt idx="45">
                  <c:v>5</c:v>
                </c:pt>
                <c:pt idx="46">
                  <c:v>4</c:v>
                </c:pt>
                <c:pt idx="47">
                  <c:v>3</c:v>
                </c:pt>
                <c:pt idx="48">
                  <c:v>2</c:v>
                </c:pt>
                <c:pt idx="49">
                  <c:v>1</c:v>
                </c:pt>
                <c:pt idx="50">
                  <c:v>0</c:v>
                </c:pt>
                <c:pt idx="51">
                  <c:v>0</c:v>
                </c:pt>
              </c:numCache>
            </c:numRef>
          </c:val>
          <c:smooth val="0"/>
          <c:extLst>
            <c:ext xmlns:c16="http://schemas.microsoft.com/office/drawing/2014/chart" uri="{C3380CC4-5D6E-409C-BE32-E72D297353CC}">
              <c16:uniqueId val="{00000000-5C5F-438D-8C1D-960990720F29}"/>
            </c:ext>
          </c:extLst>
        </c:ser>
        <c:dLbls>
          <c:showLegendKey val="0"/>
          <c:showVal val="0"/>
          <c:showCatName val="0"/>
          <c:showSerName val="0"/>
          <c:showPercent val="0"/>
          <c:showBubbleSize val="0"/>
        </c:dLbls>
        <c:smooth val="0"/>
        <c:axId val="104017064"/>
        <c:axId val="104017456"/>
      </c:lineChart>
      <c:catAx>
        <c:axId val="104017064"/>
        <c:scaling>
          <c:orientation val="minMax"/>
        </c:scaling>
        <c:delete val="0"/>
        <c:axPos val="b"/>
        <c:title>
          <c:tx>
            <c:rich>
              <a:bodyPr/>
              <a:lstStyle/>
              <a:p>
                <a:pPr>
                  <a:defRPr/>
                </a:pPr>
                <a:r>
                  <a:rPr lang="de-DE" sz="1200" b="1" i="0" u="none" strike="noStrike" baseline="0">
                    <a:effectLst/>
                    <a:latin typeface="Arial" panose="020B0604020202020204" pitchFamily="34" charset="0"/>
                    <a:cs typeface="Arial" panose="020B0604020202020204" pitchFamily="34" charset="0"/>
                  </a:rPr>
                  <a:t>KB</a:t>
                </a:r>
                <a:r>
                  <a:rPr lang="de-DE" sz="1200" b="1" i="0" u="none" strike="noStrike" baseline="-25000">
                    <a:effectLst/>
                    <a:latin typeface="Arial" panose="020B0604020202020204" pitchFamily="34" charset="0"/>
                    <a:cs typeface="Arial" panose="020B0604020202020204" pitchFamily="34" charset="0"/>
                  </a:rPr>
                  <a:t>SK</a:t>
                </a:r>
                <a:r>
                  <a:rPr lang="en-US">
                    <a:latin typeface="Arial"/>
                    <a:cs typeface="Arial"/>
                  </a:rPr>
                  <a:t> in</a:t>
                </a:r>
                <a:r>
                  <a:rPr lang="en-US" baseline="0">
                    <a:latin typeface="Arial"/>
                    <a:cs typeface="Arial"/>
                  </a:rPr>
                  <a:t> </a:t>
                </a:r>
                <a:r>
                  <a:rPr lang="en-US">
                    <a:latin typeface="Arial"/>
                    <a:cs typeface="Arial"/>
                  </a:rPr>
                  <a:t>kWh/(m²a)</a:t>
                </a:r>
                <a:endParaRPr lang="en-US"/>
              </a:p>
            </c:rich>
          </c:tx>
          <c:overlay val="0"/>
        </c:title>
        <c:numFmt formatCode="0" sourceLinked="1"/>
        <c:majorTickMark val="out"/>
        <c:minorTickMark val="none"/>
        <c:tickLblPos val="nextTo"/>
        <c:crossAx val="104017456"/>
        <c:crosses val="autoZero"/>
        <c:auto val="1"/>
        <c:lblAlgn val="ctr"/>
        <c:lblOffset val="100"/>
        <c:tickLblSkip val="2"/>
        <c:tickMarkSkip val="1"/>
        <c:noMultiLvlLbl val="0"/>
      </c:catAx>
      <c:valAx>
        <c:axId val="104017456"/>
        <c:scaling>
          <c:orientation val="minMax"/>
        </c:scaling>
        <c:delete val="0"/>
        <c:axPos val="l"/>
        <c:majorGridlines/>
        <c:title>
          <c:tx>
            <c:rich>
              <a:bodyPr rot="-5400000" vert="horz"/>
              <a:lstStyle/>
              <a:p>
                <a:pPr>
                  <a:defRPr/>
                </a:pPr>
                <a:r>
                  <a:rPr lang="en-US">
                    <a:latin typeface="Arial"/>
                    <a:cs typeface="Arial"/>
                  </a:rPr>
                  <a:t>Punktevergabe</a:t>
                </a:r>
                <a:endParaRPr lang="en-US"/>
              </a:p>
            </c:rich>
          </c:tx>
          <c:overlay val="0"/>
        </c:title>
        <c:numFmt formatCode="0" sourceLinked="1"/>
        <c:majorTickMark val="out"/>
        <c:minorTickMark val="none"/>
        <c:tickLblPos val="nextTo"/>
        <c:crossAx val="104017064"/>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800" b="1" i="0" u="none" strike="noStrike" baseline="0">
                <a:effectLst/>
                <a:latin typeface="Arial" panose="020B0604020202020204" pitchFamily="34" charset="0"/>
                <a:cs typeface="Arial" panose="020B0604020202020204" pitchFamily="34" charset="0"/>
              </a:rPr>
              <a:t>Gebäudehülle LEK</a:t>
            </a:r>
            <a:r>
              <a:rPr lang="de-DE" sz="1800" b="1" i="0" u="none" strike="noStrike" baseline="-25000">
                <a:effectLst/>
                <a:latin typeface="Arial" panose="020B0604020202020204" pitchFamily="34" charset="0"/>
                <a:cs typeface="Arial" panose="020B0604020202020204" pitchFamily="34" charset="0"/>
              </a:rPr>
              <a:t>T</a:t>
            </a:r>
            <a:r>
              <a:rPr lang="de-DE" sz="1800" b="1" i="0" u="none" strike="noStrike" baseline="0">
                <a:effectLst/>
                <a:latin typeface="Arial" panose="020B0604020202020204" pitchFamily="34" charset="0"/>
                <a:cs typeface="Arial" panose="020B0604020202020204" pitchFamily="34" charset="0"/>
              </a:rPr>
              <a:t> Sanierung</a:t>
            </a:r>
            <a:endParaRPr lang="en-US"/>
          </a:p>
        </c:rich>
      </c:tx>
      <c:layout>
        <c:manualLayout>
          <c:xMode val="edge"/>
          <c:yMode val="edge"/>
          <c:x val="0.26766993990420412"/>
          <c:y val="3.8279156019962429E-2"/>
        </c:manualLayout>
      </c:layout>
      <c:overlay val="0"/>
    </c:title>
    <c:autoTitleDeleted val="0"/>
    <c:plotArea>
      <c:layout/>
      <c:lineChart>
        <c:grouping val="standard"/>
        <c:varyColors val="0"/>
        <c:ser>
          <c:idx val="0"/>
          <c:order val="0"/>
          <c:tx>
            <c:strRef>
              <c:f>'B2 Graphik'!$W$92:$X$92</c:f>
              <c:strCache>
                <c:ptCount val="1"/>
                <c:pt idx="0">
                  <c:v>Sanierung</c:v>
                </c:pt>
              </c:strCache>
            </c:strRef>
          </c:tx>
          <c:spPr>
            <a:ln>
              <a:solidFill>
                <a:schemeClr val="accent4">
                  <a:lumMod val="75000"/>
                </a:schemeClr>
              </a:solidFill>
            </a:ln>
          </c:spPr>
          <c:marker>
            <c:symbol val="none"/>
          </c:marker>
          <c:cat>
            <c:numRef>
              <c:f>'B2 Graphik'!$W$94:$W$129</c:f>
              <c:numCache>
                <c:formatCode>0</c:formatCode>
                <c:ptCount val="3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numCache>
            </c:numRef>
          </c:cat>
          <c:val>
            <c:numRef>
              <c:f>'B2 Graphik'!$X$94:$X$129</c:f>
              <c:numCache>
                <c:formatCode>0</c:formatCode>
                <c:ptCount val="36"/>
                <c:pt idx="0">
                  <c:v>40</c:v>
                </c:pt>
                <c:pt idx="1">
                  <c:v>40</c:v>
                </c:pt>
                <c:pt idx="2">
                  <c:v>40</c:v>
                </c:pt>
                <c:pt idx="3">
                  <c:v>40</c:v>
                </c:pt>
                <c:pt idx="4">
                  <c:v>40</c:v>
                </c:pt>
                <c:pt idx="5">
                  <c:v>40</c:v>
                </c:pt>
                <c:pt idx="6">
                  <c:v>40</c:v>
                </c:pt>
                <c:pt idx="7">
                  <c:v>40</c:v>
                </c:pt>
                <c:pt idx="8">
                  <c:v>40</c:v>
                </c:pt>
                <c:pt idx="9">
                  <c:v>40</c:v>
                </c:pt>
                <c:pt idx="10">
                  <c:v>40</c:v>
                </c:pt>
                <c:pt idx="11">
                  <c:v>40</c:v>
                </c:pt>
                <c:pt idx="12">
                  <c:v>40</c:v>
                </c:pt>
                <c:pt idx="13">
                  <c:v>40</c:v>
                </c:pt>
                <c:pt idx="14">
                  <c:v>40</c:v>
                </c:pt>
                <c:pt idx="15">
                  <c:v>40</c:v>
                </c:pt>
                <c:pt idx="16">
                  <c:v>40</c:v>
                </c:pt>
                <c:pt idx="17">
                  <c:v>40</c:v>
                </c:pt>
                <c:pt idx="18">
                  <c:v>36.923076923076927</c:v>
                </c:pt>
                <c:pt idx="19">
                  <c:v>33.846153846153847</c:v>
                </c:pt>
                <c:pt idx="20">
                  <c:v>30.76923076923077</c:v>
                </c:pt>
                <c:pt idx="21">
                  <c:v>27.692307692307693</c:v>
                </c:pt>
                <c:pt idx="22">
                  <c:v>24.615384615384617</c:v>
                </c:pt>
                <c:pt idx="23">
                  <c:v>21.53846153846154</c:v>
                </c:pt>
                <c:pt idx="24">
                  <c:v>18.461538461538463</c:v>
                </c:pt>
                <c:pt idx="25">
                  <c:v>15.384615384615385</c:v>
                </c:pt>
                <c:pt idx="26">
                  <c:v>12.307692307692308</c:v>
                </c:pt>
                <c:pt idx="27">
                  <c:v>9.2307692307692317</c:v>
                </c:pt>
                <c:pt idx="28">
                  <c:v>6.1538461538461542</c:v>
                </c:pt>
                <c:pt idx="29">
                  <c:v>3.0769230769230771</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0-3739-4B3F-B201-0BB4E8AF54E0}"/>
            </c:ext>
          </c:extLst>
        </c:ser>
        <c:dLbls>
          <c:showLegendKey val="0"/>
          <c:showVal val="0"/>
          <c:showCatName val="0"/>
          <c:showSerName val="0"/>
          <c:showPercent val="0"/>
          <c:showBubbleSize val="0"/>
        </c:dLbls>
        <c:smooth val="0"/>
        <c:axId val="103365520"/>
        <c:axId val="103366304"/>
      </c:lineChart>
      <c:catAx>
        <c:axId val="103365520"/>
        <c:scaling>
          <c:orientation val="minMax"/>
        </c:scaling>
        <c:delete val="0"/>
        <c:axPos val="b"/>
        <c:title>
          <c:tx>
            <c:rich>
              <a:bodyPr/>
              <a:lstStyle/>
              <a:p>
                <a:pPr>
                  <a:defRPr/>
                </a:pPr>
                <a:r>
                  <a:rPr lang="de-DE" sz="1200" b="1" i="0" u="none" strike="noStrike" baseline="0">
                    <a:effectLst/>
                    <a:latin typeface="Arial" panose="020B0604020202020204" pitchFamily="34" charset="0"/>
                    <a:cs typeface="Arial" panose="020B0604020202020204" pitchFamily="34" charset="0"/>
                  </a:rPr>
                  <a:t>LEK</a:t>
                </a:r>
                <a:r>
                  <a:rPr lang="de-DE" sz="1200" b="1" i="0" u="none" strike="noStrike" baseline="-25000">
                    <a:effectLst/>
                    <a:latin typeface="Arial" panose="020B0604020202020204" pitchFamily="34" charset="0"/>
                    <a:cs typeface="Arial" panose="020B0604020202020204" pitchFamily="34" charset="0"/>
                  </a:rPr>
                  <a:t>T</a:t>
                </a:r>
                <a:r>
                  <a:rPr lang="de-DE" sz="1200" b="1" i="0" u="none" strike="noStrike" baseline="0">
                    <a:effectLst/>
                    <a:latin typeface="Arial" panose="020B0604020202020204" pitchFamily="34" charset="0"/>
                    <a:cs typeface="Arial" panose="020B0604020202020204" pitchFamily="34" charset="0"/>
                  </a:rPr>
                  <a:t> (dimensionslos</a:t>
                </a:r>
                <a:r>
                  <a:rPr lang="en-US">
                    <a:latin typeface="Arial"/>
                    <a:cs typeface="Arial"/>
                  </a:rPr>
                  <a:t>)</a:t>
                </a:r>
                <a:endParaRPr lang="en-US"/>
              </a:p>
            </c:rich>
          </c:tx>
          <c:overlay val="0"/>
        </c:title>
        <c:numFmt formatCode="0" sourceLinked="1"/>
        <c:majorTickMark val="out"/>
        <c:minorTickMark val="none"/>
        <c:tickLblPos val="nextTo"/>
        <c:crossAx val="103366304"/>
        <c:crosses val="autoZero"/>
        <c:auto val="1"/>
        <c:lblAlgn val="ctr"/>
        <c:lblOffset val="100"/>
        <c:tickLblSkip val="5"/>
        <c:tickMarkSkip val="5"/>
        <c:noMultiLvlLbl val="0"/>
      </c:catAx>
      <c:valAx>
        <c:axId val="103366304"/>
        <c:scaling>
          <c:orientation val="minMax"/>
          <c:max val="70"/>
          <c:min val="0"/>
        </c:scaling>
        <c:delete val="0"/>
        <c:axPos val="l"/>
        <c:majorGridlines/>
        <c:title>
          <c:tx>
            <c:rich>
              <a:bodyPr rot="-5400000" vert="horz"/>
              <a:lstStyle/>
              <a:p>
                <a:pPr>
                  <a:defRPr/>
                </a:pPr>
                <a:r>
                  <a:rPr lang="en-US">
                    <a:latin typeface="Arial"/>
                    <a:cs typeface="Arial"/>
                  </a:rPr>
                  <a:t>Punktevergabe</a:t>
                </a:r>
                <a:endParaRPr lang="en-US"/>
              </a:p>
            </c:rich>
          </c:tx>
          <c:overlay val="0"/>
        </c:title>
        <c:numFmt formatCode="0" sourceLinked="1"/>
        <c:majorTickMark val="out"/>
        <c:minorTickMark val="none"/>
        <c:tickLblPos val="nextTo"/>
        <c:crossAx val="103365520"/>
        <c:crosses val="autoZero"/>
        <c:crossBetween val="midCat"/>
        <c:majorUnit val="10"/>
      </c:valAx>
    </c:plotArea>
    <c:legend>
      <c:legendPos val="r"/>
      <c:overlay val="0"/>
    </c:legend>
    <c:plotVisOnly val="1"/>
    <c:dispBlanksAs val="gap"/>
    <c:showDLblsOverMax val="0"/>
  </c:chart>
  <c:printSettings>
    <c:headerFooter/>
    <c:pageMargins b="0.78740157499999996" l="0.7" r="0.7" t="0.78740157499999996" header="0.3" footer="0.3"/>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800" b="1" i="0" u="none" strike="noStrike" baseline="0">
                <a:effectLst/>
                <a:latin typeface="Arial" panose="020B0604020202020204" pitchFamily="34" charset="0"/>
                <a:cs typeface="Arial" panose="020B0604020202020204" pitchFamily="34" charset="0"/>
              </a:rPr>
              <a:t>Gebäudehülle LEK</a:t>
            </a:r>
            <a:r>
              <a:rPr lang="de-DE" sz="1800" b="1" i="0" u="none" strike="noStrike" baseline="-25000">
                <a:effectLst/>
                <a:latin typeface="Arial" panose="020B0604020202020204" pitchFamily="34" charset="0"/>
                <a:cs typeface="Arial" panose="020B0604020202020204" pitchFamily="34" charset="0"/>
              </a:rPr>
              <a:t>T</a:t>
            </a:r>
            <a:r>
              <a:rPr lang="de-DE" sz="1800" b="1" i="0" u="none" strike="noStrike" baseline="0">
                <a:latin typeface="Arial" panose="020B0604020202020204" pitchFamily="34" charset="0"/>
                <a:cs typeface="Arial" panose="020B0604020202020204" pitchFamily="34" charset="0"/>
              </a:rPr>
              <a:t> </a:t>
            </a:r>
            <a:r>
              <a:rPr lang="en-US">
                <a:latin typeface="Arial"/>
                <a:cs typeface="Arial"/>
              </a:rPr>
              <a:t>Neubau</a:t>
            </a:r>
            <a:endParaRPr lang="en-US"/>
          </a:p>
        </c:rich>
      </c:tx>
      <c:overlay val="0"/>
    </c:title>
    <c:autoTitleDeleted val="0"/>
    <c:plotArea>
      <c:layout/>
      <c:lineChart>
        <c:grouping val="standard"/>
        <c:varyColors val="0"/>
        <c:ser>
          <c:idx val="1"/>
          <c:order val="0"/>
          <c:tx>
            <c:strRef>
              <c:f>'B2 Graphik'!$F$92:$G$92</c:f>
              <c:strCache>
                <c:ptCount val="1"/>
                <c:pt idx="0">
                  <c:v>Neubau</c:v>
                </c:pt>
              </c:strCache>
            </c:strRef>
          </c:tx>
          <c:spPr>
            <a:ln w="28575">
              <a:solidFill>
                <a:schemeClr val="accent4">
                  <a:lumMod val="75000"/>
                </a:schemeClr>
              </a:solidFill>
            </a:ln>
          </c:spPr>
          <c:marker>
            <c:symbol val="none"/>
          </c:marker>
          <c:cat>
            <c:numRef>
              <c:f>'B2 Graphik'!$F$94:$F$129</c:f>
              <c:numCache>
                <c:formatCode>0</c:formatCode>
                <c:ptCount val="3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numCache>
            </c:numRef>
          </c:cat>
          <c:val>
            <c:numRef>
              <c:f>'B2 Graphik'!$G$94:$G$129</c:f>
              <c:numCache>
                <c:formatCode>0</c:formatCode>
                <c:ptCount val="36"/>
                <c:pt idx="0">
                  <c:v>40</c:v>
                </c:pt>
                <c:pt idx="1">
                  <c:v>40</c:v>
                </c:pt>
                <c:pt idx="2">
                  <c:v>40</c:v>
                </c:pt>
                <c:pt idx="3">
                  <c:v>40</c:v>
                </c:pt>
                <c:pt idx="4">
                  <c:v>40</c:v>
                </c:pt>
                <c:pt idx="5">
                  <c:v>40</c:v>
                </c:pt>
                <c:pt idx="6">
                  <c:v>40</c:v>
                </c:pt>
                <c:pt idx="7">
                  <c:v>40</c:v>
                </c:pt>
                <c:pt idx="8">
                  <c:v>40</c:v>
                </c:pt>
                <c:pt idx="9">
                  <c:v>40</c:v>
                </c:pt>
                <c:pt idx="10">
                  <c:v>40</c:v>
                </c:pt>
                <c:pt idx="11">
                  <c:v>40</c:v>
                </c:pt>
                <c:pt idx="12">
                  <c:v>40</c:v>
                </c:pt>
                <c:pt idx="13">
                  <c:v>40</c:v>
                </c:pt>
                <c:pt idx="14">
                  <c:v>40</c:v>
                </c:pt>
                <c:pt idx="15">
                  <c:v>40</c:v>
                </c:pt>
                <c:pt idx="16">
                  <c:v>36</c:v>
                </c:pt>
                <c:pt idx="17">
                  <c:v>32</c:v>
                </c:pt>
                <c:pt idx="18">
                  <c:v>28</c:v>
                </c:pt>
                <c:pt idx="19">
                  <c:v>24</c:v>
                </c:pt>
                <c:pt idx="20">
                  <c:v>20</c:v>
                </c:pt>
                <c:pt idx="21">
                  <c:v>16</c:v>
                </c:pt>
                <c:pt idx="22">
                  <c:v>12</c:v>
                </c:pt>
                <c:pt idx="23">
                  <c:v>8</c:v>
                </c:pt>
                <c:pt idx="24">
                  <c:v>4</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0-8CE8-42D3-BBE1-18AEA5C950A3}"/>
            </c:ext>
          </c:extLst>
        </c:ser>
        <c:dLbls>
          <c:showLegendKey val="0"/>
          <c:showVal val="0"/>
          <c:showCatName val="0"/>
          <c:showSerName val="0"/>
          <c:showPercent val="0"/>
          <c:showBubbleSize val="0"/>
        </c:dLbls>
        <c:smooth val="0"/>
        <c:axId val="103365520"/>
        <c:axId val="103366304"/>
      </c:lineChart>
      <c:catAx>
        <c:axId val="103365520"/>
        <c:scaling>
          <c:orientation val="minMax"/>
        </c:scaling>
        <c:delete val="0"/>
        <c:axPos val="b"/>
        <c:title>
          <c:tx>
            <c:rich>
              <a:bodyPr/>
              <a:lstStyle/>
              <a:p>
                <a:pPr>
                  <a:defRPr/>
                </a:pPr>
                <a:r>
                  <a:rPr lang="de-DE" sz="1200" b="1" i="0" u="none" strike="noStrike" baseline="0">
                    <a:effectLst/>
                    <a:latin typeface="Arial" panose="020B0604020202020204" pitchFamily="34" charset="0"/>
                    <a:cs typeface="Arial" panose="020B0604020202020204" pitchFamily="34" charset="0"/>
                  </a:rPr>
                  <a:t>LEK</a:t>
                </a:r>
                <a:r>
                  <a:rPr lang="de-DE" sz="1200" b="1" i="0" u="none" strike="noStrike" baseline="-25000">
                    <a:effectLst/>
                    <a:latin typeface="Arial" panose="020B0604020202020204" pitchFamily="34" charset="0"/>
                    <a:cs typeface="Arial" panose="020B0604020202020204" pitchFamily="34" charset="0"/>
                  </a:rPr>
                  <a:t>T</a:t>
                </a:r>
                <a:r>
                  <a:rPr lang="en-US" sz="1200">
                    <a:latin typeface="Arial"/>
                    <a:cs typeface="Arial"/>
                  </a:rPr>
                  <a:t> (</a:t>
                </a:r>
                <a:r>
                  <a:rPr lang="en-US" sz="1000">
                    <a:latin typeface="Arial"/>
                    <a:cs typeface="Arial"/>
                  </a:rPr>
                  <a:t>dimensionslos)</a:t>
                </a:r>
                <a:endParaRPr lang="en-US"/>
              </a:p>
            </c:rich>
          </c:tx>
          <c:overlay val="0"/>
        </c:title>
        <c:numFmt formatCode="0" sourceLinked="1"/>
        <c:majorTickMark val="out"/>
        <c:minorTickMark val="none"/>
        <c:tickLblPos val="nextTo"/>
        <c:txPr>
          <a:bodyPr rot="0" vert="horz"/>
          <a:lstStyle/>
          <a:p>
            <a:pPr>
              <a:defRPr/>
            </a:pPr>
            <a:endParaRPr lang="de-DE"/>
          </a:p>
        </c:txPr>
        <c:crossAx val="103366304"/>
        <c:crosses val="autoZero"/>
        <c:auto val="1"/>
        <c:lblAlgn val="ctr"/>
        <c:lblOffset val="100"/>
        <c:tickLblSkip val="2"/>
        <c:tickMarkSkip val="1"/>
        <c:noMultiLvlLbl val="0"/>
      </c:catAx>
      <c:valAx>
        <c:axId val="103366304"/>
        <c:scaling>
          <c:orientation val="minMax"/>
          <c:max val="70"/>
          <c:min val="0"/>
        </c:scaling>
        <c:delete val="0"/>
        <c:axPos val="l"/>
        <c:majorGridlines/>
        <c:title>
          <c:tx>
            <c:rich>
              <a:bodyPr rot="-5400000" vert="horz"/>
              <a:lstStyle/>
              <a:p>
                <a:pPr>
                  <a:defRPr/>
                </a:pPr>
                <a:r>
                  <a:rPr lang="en-US">
                    <a:latin typeface="Arial"/>
                    <a:cs typeface="Arial"/>
                  </a:rPr>
                  <a:t>Punktevergabe</a:t>
                </a:r>
                <a:endParaRPr lang="en-US"/>
              </a:p>
            </c:rich>
          </c:tx>
          <c:overlay val="0"/>
        </c:title>
        <c:numFmt formatCode="0" sourceLinked="1"/>
        <c:majorTickMark val="out"/>
        <c:minorTickMark val="none"/>
        <c:tickLblPos val="nextTo"/>
        <c:crossAx val="103365520"/>
        <c:crosses val="autoZero"/>
        <c:crossBetween val="midCat"/>
        <c:majorUnit val="10"/>
      </c:valAx>
    </c:plotArea>
    <c:legend>
      <c:legendPos val="r"/>
      <c:overlay val="0"/>
    </c:legend>
    <c:plotVisOnly val="1"/>
    <c:dispBlanksAs val="gap"/>
    <c:showDLblsOverMax val="0"/>
  </c:chart>
  <c:printSettings>
    <c:headerFooter/>
    <c:pageMargins b="0.78740157499999996" l="0.7" r="0.7" t="0.78740157499999996"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800" b="1" i="0" u="none" strike="noStrike" baseline="0">
                <a:effectLst/>
                <a:latin typeface="Arial" panose="020B0604020202020204" pitchFamily="34" charset="0"/>
                <a:cs typeface="Arial" panose="020B0604020202020204" pitchFamily="34" charset="0"/>
              </a:rPr>
              <a:t>Heizwärmebedarf HWB</a:t>
            </a:r>
            <a:r>
              <a:rPr lang="de-DE" sz="1800" b="1" i="0" u="none" strike="noStrike" baseline="0">
                <a:latin typeface="Arial" panose="020B0604020202020204" pitchFamily="34" charset="0"/>
                <a:cs typeface="Arial" panose="020B0604020202020204" pitchFamily="34" charset="0"/>
              </a:rPr>
              <a:t> </a:t>
            </a:r>
            <a:r>
              <a:rPr lang="en-US">
                <a:latin typeface="Arial"/>
                <a:cs typeface="Arial"/>
              </a:rPr>
              <a:t>Neubau</a:t>
            </a:r>
            <a:endParaRPr lang="en-US"/>
          </a:p>
        </c:rich>
      </c:tx>
      <c:overlay val="0"/>
    </c:title>
    <c:autoTitleDeleted val="0"/>
    <c:plotArea>
      <c:layout/>
      <c:lineChart>
        <c:grouping val="standard"/>
        <c:varyColors val="0"/>
        <c:ser>
          <c:idx val="1"/>
          <c:order val="0"/>
          <c:tx>
            <c:strRef>
              <c:f>'B1 Graphik'!$C$74:$D$74</c:f>
              <c:strCache>
                <c:ptCount val="1"/>
                <c:pt idx="0">
                  <c:v>Neubau</c:v>
                </c:pt>
              </c:strCache>
            </c:strRef>
          </c:tx>
          <c:spPr>
            <a:ln w="28575">
              <a:solidFill>
                <a:srgbClr val="C00000"/>
              </a:solidFill>
            </a:ln>
          </c:spPr>
          <c:marker>
            <c:symbol val="none"/>
          </c:marker>
          <c:cat>
            <c:numRef>
              <c:f>'B1 Graphik'!$C$76:$C$102</c:f>
              <c:numCache>
                <c:formatCode>0</c:formatCode>
                <c:ptCount val="27"/>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46</c:v>
                </c:pt>
                <c:pt idx="20">
                  <c:v>47</c:v>
                </c:pt>
                <c:pt idx="21">
                  <c:v>48</c:v>
                </c:pt>
                <c:pt idx="22">
                  <c:v>49</c:v>
                </c:pt>
                <c:pt idx="23">
                  <c:v>50</c:v>
                </c:pt>
                <c:pt idx="24">
                  <c:v>51</c:v>
                </c:pt>
                <c:pt idx="25">
                  <c:v>52</c:v>
                </c:pt>
                <c:pt idx="26">
                  <c:v>53</c:v>
                </c:pt>
              </c:numCache>
            </c:numRef>
          </c:cat>
          <c:val>
            <c:numRef>
              <c:f>'B1 Graphik'!$D$76:$D$102</c:f>
              <c:numCache>
                <c:formatCode>0</c:formatCode>
                <c:ptCount val="27"/>
                <c:pt idx="0">
                  <c:v>50</c:v>
                </c:pt>
                <c:pt idx="1">
                  <c:v>50</c:v>
                </c:pt>
                <c:pt idx="2">
                  <c:v>50</c:v>
                </c:pt>
                <c:pt idx="3">
                  <c:v>50</c:v>
                </c:pt>
                <c:pt idx="4">
                  <c:v>50</c:v>
                </c:pt>
                <c:pt idx="5">
                  <c:v>50</c:v>
                </c:pt>
                <c:pt idx="6">
                  <c:v>50</c:v>
                </c:pt>
                <c:pt idx="7">
                  <c:v>45.833333333333336</c:v>
                </c:pt>
                <c:pt idx="8">
                  <c:v>41.666666666666671</c:v>
                </c:pt>
                <c:pt idx="9">
                  <c:v>37.5</c:v>
                </c:pt>
                <c:pt idx="10">
                  <c:v>33.333333333333336</c:v>
                </c:pt>
                <c:pt idx="11">
                  <c:v>29.166666666666668</c:v>
                </c:pt>
                <c:pt idx="12">
                  <c:v>25</c:v>
                </c:pt>
                <c:pt idx="13">
                  <c:v>20.833333333333336</c:v>
                </c:pt>
                <c:pt idx="14">
                  <c:v>16.666666666666668</c:v>
                </c:pt>
                <c:pt idx="15">
                  <c:v>12.5</c:v>
                </c:pt>
                <c:pt idx="16">
                  <c:v>8.3333333333333339</c:v>
                </c:pt>
                <c:pt idx="17">
                  <c:v>4.166666666666667</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0-E94B-4B21-BD3F-96BBA55AE957}"/>
            </c:ext>
          </c:extLst>
        </c:ser>
        <c:dLbls>
          <c:showLegendKey val="0"/>
          <c:showVal val="0"/>
          <c:showCatName val="0"/>
          <c:showSerName val="0"/>
          <c:showPercent val="0"/>
          <c:showBubbleSize val="0"/>
        </c:dLbls>
        <c:smooth val="0"/>
        <c:axId val="103365520"/>
        <c:axId val="103366304"/>
      </c:lineChart>
      <c:catAx>
        <c:axId val="103365520"/>
        <c:scaling>
          <c:orientation val="minMax"/>
        </c:scaling>
        <c:delete val="0"/>
        <c:axPos val="b"/>
        <c:title>
          <c:tx>
            <c:rich>
              <a:bodyPr/>
              <a:lstStyle/>
              <a:p>
                <a:pPr>
                  <a:defRPr/>
                </a:pPr>
                <a:r>
                  <a:rPr lang="de-DE" sz="1200" b="1" i="0" u="none" strike="noStrike" baseline="0">
                    <a:effectLst/>
                    <a:latin typeface="Arial" panose="020B0604020202020204" pitchFamily="34" charset="0"/>
                    <a:cs typeface="Arial" panose="020B0604020202020204" pitchFamily="34" charset="0"/>
                  </a:rPr>
                  <a:t>HWB</a:t>
                </a:r>
                <a:r>
                  <a:rPr lang="en-US" sz="1200">
                    <a:latin typeface="Arial"/>
                    <a:cs typeface="Arial"/>
                  </a:rPr>
                  <a:t> </a:t>
                </a:r>
                <a:r>
                  <a:rPr lang="en-US" sz="1000">
                    <a:latin typeface="Arial"/>
                    <a:cs typeface="Arial"/>
                  </a:rPr>
                  <a:t>in</a:t>
                </a:r>
                <a:r>
                  <a:rPr lang="en-US" sz="1000" baseline="0">
                    <a:latin typeface="Arial"/>
                    <a:cs typeface="Arial"/>
                  </a:rPr>
                  <a:t> </a:t>
                </a:r>
                <a:r>
                  <a:rPr lang="en-US">
                    <a:latin typeface="Arial"/>
                    <a:cs typeface="Arial"/>
                  </a:rPr>
                  <a:t>kWh/(m²a)</a:t>
                </a:r>
                <a:endParaRPr lang="en-US"/>
              </a:p>
            </c:rich>
          </c:tx>
          <c:overlay val="0"/>
        </c:title>
        <c:numFmt formatCode="0" sourceLinked="1"/>
        <c:majorTickMark val="out"/>
        <c:minorTickMark val="none"/>
        <c:tickLblPos val="nextTo"/>
        <c:txPr>
          <a:bodyPr rot="0" vert="horz"/>
          <a:lstStyle/>
          <a:p>
            <a:pPr>
              <a:defRPr/>
            </a:pPr>
            <a:endParaRPr lang="de-DE"/>
          </a:p>
        </c:txPr>
        <c:crossAx val="103366304"/>
        <c:crosses val="autoZero"/>
        <c:auto val="1"/>
        <c:lblAlgn val="ctr"/>
        <c:lblOffset val="100"/>
        <c:tickLblSkip val="2"/>
        <c:tickMarkSkip val="1"/>
        <c:noMultiLvlLbl val="0"/>
      </c:catAx>
      <c:valAx>
        <c:axId val="103366304"/>
        <c:scaling>
          <c:orientation val="minMax"/>
          <c:max val="100"/>
          <c:min val="0"/>
        </c:scaling>
        <c:delete val="0"/>
        <c:axPos val="l"/>
        <c:majorGridlines/>
        <c:title>
          <c:tx>
            <c:rich>
              <a:bodyPr rot="-5400000" vert="horz"/>
              <a:lstStyle/>
              <a:p>
                <a:pPr>
                  <a:defRPr/>
                </a:pPr>
                <a:r>
                  <a:rPr lang="en-US">
                    <a:latin typeface="Arial"/>
                    <a:cs typeface="Arial"/>
                  </a:rPr>
                  <a:t>Punktevergabe</a:t>
                </a:r>
                <a:endParaRPr lang="en-US"/>
              </a:p>
            </c:rich>
          </c:tx>
          <c:overlay val="0"/>
        </c:title>
        <c:numFmt formatCode="0" sourceLinked="1"/>
        <c:majorTickMark val="out"/>
        <c:minorTickMark val="none"/>
        <c:tickLblPos val="nextTo"/>
        <c:crossAx val="103365520"/>
        <c:crosses val="autoZero"/>
        <c:crossBetween val="midCat"/>
        <c:majorUnit val="10"/>
      </c:valAx>
    </c:plotArea>
    <c:legend>
      <c:legendPos val="r"/>
      <c:overlay val="0"/>
    </c:legend>
    <c:plotVisOnly val="1"/>
    <c:dispBlanksAs val="gap"/>
    <c:showDLblsOverMax val="0"/>
  </c:chart>
  <c:printSettings>
    <c:headerFooter/>
    <c:pageMargins b="0.78740157499999996" l="0.7" r="0.7" t="0.78740157499999996"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800" b="1" i="0" u="none" strike="noStrike" baseline="0">
                <a:effectLst/>
                <a:latin typeface="Arial" panose="020B0604020202020204" pitchFamily="34" charset="0"/>
                <a:cs typeface="Arial" panose="020B0604020202020204" pitchFamily="34" charset="0"/>
              </a:rPr>
              <a:t>Kühlbedarf KB</a:t>
            </a:r>
            <a:r>
              <a:rPr lang="de-DE" sz="1800" b="1" i="0" u="none" strike="noStrike" baseline="0">
                <a:latin typeface="Arial" panose="020B0604020202020204" pitchFamily="34" charset="0"/>
                <a:cs typeface="Arial" panose="020B0604020202020204" pitchFamily="34" charset="0"/>
              </a:rPr>
              <a:t> </a:t>
            </a:r>
            <a:r>
              <a:rPr lang="en-US" sz="1800" b="1" i="0" u="none" strike="noStrike" baseline="0">
                <a:latin typeface="Arial" panose="020B0604020202020204" pitchFamily="34" charset="0"/>
                <a:cs typeface="Arial" panose="020B0604020202020204" pitchFamily="34" charset="0"/>
              </a:rPr>
              <a:t>N</a:t>
            </a:r>
            <a:r>
              <a:rPr lang="en-US"/>
              <a:t>eubau</a:t>
            </a:r>
          </a:p>
        </c:rich>
      </c:tx>
      <c:overlay val="0"/>
    </c:title>
    <c:autoTitleDeleted val="0"/>
    <c:plotArea>
      <c:layout/>
      <c:lineChart>
        <c:grouping val="standard"/>
        <c:varyColors val="0"/>
        <c:ser>
          <c:idx val="0"/>
          <c:order val="0"/>
          <c:tx>
            <c:strRef>
              <c:f>'B1 Graphik'!$F$74:$G$74</c:f>
              <c:strCache>
                <c:ptCount val="1"/>
                <c:pt idx="0">
                  <c:v>Neubau</c:v>
                </c:pt>
              </c:strCache>
            </c:strRef>
          </c:tx>
          <c:marker>
            <c:symbol val="none"/>
          </c:marker>
          <c:cat>
            <c:numRef>
              <c:f>'B1 Graphik'!$F$76:$F$100</c:f>
              <c:numCache>
                <c:formatCode>0</c:formatCode>
                <c:ptCount val="2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numCache>
            </c:numRef>
          </c:cat>
          <c:val>
            <c:numRef>
              <c:f>'B1 Graphik'!$G$76:$G$100</c:f>
              <c:numCache>
                <c:formatCode>0</c:formatCode>
                <c:ptCount val="25"/>
                <c:pt idx="0">
                  <c:v>45</c:v>
                </c:pt>
                <c:pt idx="1">
                  <c:v>40.5</c:v>
                </c:pt>
                <c:pt idx="2">
                  <c:v>36</c:v>
                </c:pt>
                <c:pt idx="3">
                  <c:v>31.5</c:v>
                </c:pt>
                <c:pt idx="4">
                  <c:v>27</c:v>
                </c:pt>
                <c:pt idx="5">
                  <c:v>22.5</c:v>
                </c:pt>
                <c:pt idx="6">
                  <c:v>18</c:v>
                </c:pt>
                <c:pt idx="7">
                  <c:v>13.5</c:v>
                </c:pt>
                <c:pt idx="8">
                  <c:v>9</c:v>
                </c:pt>
                <c:pt idx="9">
                  <c:v>4.5</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1-5B0D-4AFE-97C7-335AD5F6475A}"/>
            </c:ext>
          </c:extLst>
        </c:ser>
        <c:dLbls>
          <c:showLegendKey val="0"/>
          <c:showVal val="0"/>
          <c:showCatName val="0"/>
          <c:showSerName val="0"/>
          <c:showPercent val="0"/>
          <c:showBubbleSize val="0"/>
        </c:dLbls>
        <c:smooth val="0"/>
        <c:axId val="104017064"/>
        <c:axId val="104017456"/>
      </c:lineChart>
      <c:catAx>
        <c:axId val="104017064"/>
        <c:scaling>
          <c:orientation val="minMax"/>
        </c:scaling>
        <c:delete val="0"/>
        <c:axPos val="b"/>
        <c:title>
          <c:tx>
            <c:rich>
              <a:bodyPr/>
              <a:lstStyle/>
              <a:p>
                <a:pPr>
                  <a:defRPr/>
                </a:pPr>
                <a:r>
                  <a:rPr lang="de-DE" sz="1200" b="1" i="0" u="none" strike="noStrike" baseline="0">
                    <a:effectLst/>
                    <a:latin typeface="Arial" panose="020B0604020202020204" pitchFamily="34" charset="0"/>
                    <a:cs typeface="Arial" panose="020B0604020202020204" pitchFamily="34" charset="0"/>
                  </a:rPr>
                  <a:t>KB</a:t>
                </a:r>
                <a:r>
                  <a:rPr lang="en-US">
                    <a:latin typeface="Arial"/>
                    <a:cs typeface="Arial"/>
                  </a:rPr>
                  <a:t> in</a:t>
                </a:r>
                <a:r>
                  <a:rPr lang="en-US" baseline="0">
                    <a:latin typeface="Arial"/>
                    <a:cs typeface="Arial"/>
                  </a:rPr>
                  <a:t> </a:t>
                </a:r>
                <a:r>
                  <a:rPr lang="en-US">
                    <a:latin typeface="Arial"/>
                    <a:cs typeface="Arial"/>
                  </a:rPr>
                  <a:t>kWh/(m²a)</a:t>
                </a:r>
                <a:endParaRPr lang="en-US"/>
              </a:p>
            </c:rich>
          </c:tx>
          <c:overlay val="0"/>
        </c:title>
        <c:numFmt formatCode="0" sourceLinked="1"/>
        <c:majorTickMark val="out"/>
        <c:minorTickMark val="none"/>
        <c:tickLblPos val="nextTo"/>
        <c:crossAx val="104017456"/>
        <c:crosses val="autoZero"/>
        <c:auto val="1"/>
        <c:lblAlgn val="ctr"/>
        <c:lblOffset val="100"/>
        <c:tickLblSkip val="2"/>
        <c:tickMarkSkip val="1"/>
        <c:noMultiLvlLbl val="0"/>
      </c:catAx>
      <c:valAx>
        <c:axId val="104017456"/>
        <c:scaling>
          <c:orientation val="minMax"/>
        </c:scaling>
        <c:delete val="0"/>
        <c:axPos val="l"/>
        <c:majorGridlines/>
        <c:title>
          <c:tx>
            <c:rich>
              <a:bodyPr rot="-5400000" vert="horz"/>
              <a:lstStyle/>
              <a:p>
                <a:pPr>
                  <a:defRPr/>
                </a:pPr>
                <a:r>
                  <a:rPr lang="en-US">
                    <a:latin typeface="Arial"/>
                    <a:cs typeface="Arial"/>
                  </a:rPr>
                  <a:t>Punktevergabe</a:t>
                </a:r>
                <a:endParaRPr lang="en-US"/>
              </a:p>
            </c:rich>
          </c:tx>
          <c:overlay val="0"/>
        </c:title>
        <c:numFmt formatCode="0" sourceLinked="1"/>
        <c:majorTickMark val="out"/>
        <c:minorTickMark val="none"/>
        <c:tickLblPos val="nextTo"/>
        <c:crossAx val="104017064"/>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a:solidFill>
                  <a:srgbClr val="000000"/>
                </a:solidFill>
                <a:latin typeface="Calibri"/>
                <a:ea typeface="Calibri"/>
                <a:cs typeface="Calibri"/>
              </a:defRPr>
            </a:pPr>
            <a:r>
              <a:rPr lang="de-DE" sz="1800" b="1" i="0" u="none" strike="noStrike" baseline="0">
                <a:effectLst/>
                <a:latin typeface="Arial" panose="020B0604020202020204" pitchFamily="34" charset="0"/>
                <a:cs typeface="Arial" panose="020B0604020202020204" pitchFamily="34" charset="0"/>
              </a:rPr>
              <a:t>Primärenergiebedarf PEB Sanierung</a:t>
            </a:r>
            <a:endParaRPr lang="de-DE"/>
          </a:p>
        </c:rich>
      </c:tx>
      <c:overlay val="0"/>
    </c:title>
    <c:autoTitleDeleted val="0"/>
    <c:plotArea>
      <c:layout/>
      <c:lineChart>
        <c:grouping val="standard"/>
        <c:varyColors val="0"/>
        <c:ser>
          <c:idx val="0"/>
          <c:order val="0"/>
          <c:tx>
            <c:strRef>
              <c:f>'B1 Graphik'!$W$74:$X$74</c:f>
              <c:strCache>
                <c:ptCount val="1"/>
                <c:pt idx="0">
                  <c:v>Sanierung</c:v>
                </c:pt>
              </c:strCache>
            </c:strRef>
          </c:tx>
          <c:spPr>
            <a:ln w="28575">
              <a:solidFill>
                <a:schemeClr val="accent6">
                  <a:lumMod val="75000"/>
                </a:schemeClr>
              </a:solidFill>
            </a:ln>
          </c:spPr>
          <c:marker>
            <c:symbol val="none"/>
          </c:marker>
          <c:cat>
            <c:numRef>
              <c:f>'B1 Graphik'!$W$76:$W$118</c:f>
              <c:numCache>
                <c:formatCode>0</c:formatCode>
                <c:ptCount val="43"/>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numCache>
            </c:numRef>
          </c:cat>
          <c:val>
            <c:numRef>
              <c:f>'B1 Graphik'!$X$76:$X$118</c:f>
              <c:numCache>
                <c:formatCode>0</c:formatCode>
                <c:ptCount val="43"/>
                <c:pt idx="0">
                  <c:v>120</c:v>
                </c:pt>
                <c:pt idx="1">
                  <c:v>120</c:v>
                </c:pt>
                <c:pt idx="2">
                  <c:v>120</c:v>
                </c:pt>
                <c:pt idx="3">
                  <c:v>120</c:v>
                </c:pt>
                <c:pt idx="4">
                  <c:v>120</c:v>
                </c:pt>
                <c:pt idx="5">
                  <c:v>120</c:v>
                </c:pt>
                <c:pt idx="6">
                  <c:v>120</c:v>
                </c:pt>
                <c:pt idx="7">
                  <c:v>120</c:v>
                </c:pt>
                <c:pt idx="8">
                  <c:v>120</c:v>
                </c:pt>
                <c:pt idx="9">
                  <c:v>120</c:v>
                </c:pt>
                <c:pt idx="10">
                  <c:v>120</c:v>
                </c:pt>
                <c:pt idx="11">
                  <c:v>120</c:v>
                </c:pt>
                <c:pt idx="12">
                  <c:v>120</c:v>
                </c:pt>
                <c:pt idx="13">
                  <c:v>115.71428571428571</c:v>
                </c:pt>
                <c:pt idx="14">
                  <c:v>111.42857142857142</c:v>
                </c:pt>
                <c:pt idx="15">
                  <c:v>107.14285714285714</c:v>
                </c:pt>
                <c:pt idx="16">
                  <c:v>102.85714285714285</c:v>
                </c:pt>
                <c:pt idx="17">
                  <c:v>98.571428571428569</c:v>
                </c:pt>
                <c:pt idx="18">
                  <c:v>94.285714285714278</c:v>
                </c:pt>
                <c:pt idx="19">
                  <c:v>90</c:v>
                </c:pt>
                <c:pt idx="20">
                  <c:v>85.714285714285708</c:v>
                </c:pt>
                <c:pt idx="21">
                  <c:v>81.428571428571431</c:v>
                </c:pt>
                <c:pt idx="22">
                  <c:v>77.142857142857139</c:v>
                </c:pt>
                <c:pt idx="23">
                  <c:v>72.857142857142847</c:v>
                </c:pt>
                <c:pt idx="24">
                  <c:v>68.571428571428569</c:v>
                </c:pt>
                <c:pt idx="25">
                  <c:v>64.285714285714278</c:v>
                </c:pt>
                <c:pt idx="26">
                  <c:v>60</c:v>
                </c:pt>
                <c:pt idx="27">
                  <c:v>55.714285714285708</c:v>
                </c:pt>
                <c:pt idx="28">
                  <c:v>51.428571428571423</c:v>
                </c:pt>
                <c:pt idx="29">
                  <c:v>47.142857142857139</c:v>
                </c:pt>
                <c:pt idx="30">
                  <c:v>42.857142857142854</c:v>
                </c:pt>
                <c:pt idx="31">
                  <c:v>38.571428571428569</c:v>
                </c:pt>
                <c:pt idx="32">
                  <c:v>34.285714285714285</c:v>
                </c:pt>
                <c:pt idx="33">
                  <c:v>30</c:v>
                </c:pt>
                <c:pt idx="34">
                  <c:v>25.714285714285712</c:v>
                </c:pt>
                <c:pt idx="35">
                  <c:v>21.428571428571427</c:v>
                </c:pt>
                <c:pt idx="36">
                  <c:v>17.142857142857142</c:v>
                </c:pt>
                <c:pt idx="37">
                  <c:v>12.857142857142856</c:v>
                </c:pt>
                <c:pt idx="38">
                  <c:v>8.5714285714285712</c:v>
                </c:pt>
                <c:pt idx="39">
                  <c:v>4.2857142857142856</c:v>
                </c:pt>
                <c:pt idx="40">
                  <c:v>0</c:v>
                </c:pt>
                <c:pt idx="41">
                  <c:v>0</c:v>
                </c:pt>
                <c:pt idx="42">
                  <c:v>0</c:v>
                </c:pt>
              </c:numCache>
            </c:numRef>
          </c:val>
          <c:smooth val="0"/>
          <c:extLst>
            <c:ext xmlns:c16="http://schemas.microsoft.com/office/drawing/2014/chart" uri="{C3380CC4-5D6E-409C-BE32-E72D297353CC}">
              <c16:uniqueId val="{00000001-C219-4934-88DC-785EFF8D09EE}"/>
            </c:ext>
          </c:extLst>
        </c:ser>
        <c:dLbls>
          <c:showLegendKey val="0"/>
          <c:showVal val="0"/>
          <c:showCatName val="0"/>
          <c:showSerName val="0"/>
          <c:showPercent val="0"/>
          <c:showBubbleSize val="0"/>
        </c:dLbls>
        <c:smooth val="0"/>
        <c:axId val="103371008"/>
        <c:axId val="103371792"/>
      </c:lineChart>
      <c:catAx>
        <c:axId val="103371008"/>
        <c:scaling>
          <c:orientation val="minMax"/>
        </c:scaling>
        <c:delete val="0"/>
        <c:axPos val="b"/>
        <c:title>
          <c:tx>
            <c:rich>
              <a:bodyPr/>
              <a:lstStyle/>
              <a:p>
                <a:pPr>
                  <a:defRPr sz="1000" b="1" i="0" u="none" strike="noStrike">
                    <a:solidFill>
                      <a:srgbClr val="000000"/>
                    </a:solidFill>
                    <a:latin typeface="Calibri"/>
                    <a:ea typeface="Calibri"/>
                    <a:cs typeface="Calibri"/>
                  </a:defRPr>
                </a:pPr>
                <a:r>
                  <a:rPr lang="de-DE" sz="1200" b="1" i="0" u="none" strike="noStrike" baseline="0">
                    <a:effectLst/>
                    <a:latin typeface="Arial" panose="020B0604020202020204" pitchFamily="34" charset="0"/>
                    <a:cs typeface="Arial" panose="020B0604020202020204" pitchFamily="34" charset="0"/>
                  </a:rPr>
                  <a:t>PEB</a:t>
                </a:r>
                <a:r>
                  <a:rPr lang="de-DE">
                    <a:latin typeface="Arial"/>
                    <a:cs typeface="Arial"/>
                  </a:rPr>
                  <a:t> in</a:t>
                </a:r>
                <a:r>
                  <a:rPr lang="de-DE" baseline="0">
                    <a:latin typeface="Arial"/>
                    <a:cs typeface="Arial"/>
                  </a:rPr>
                  <a:t> </a:t>
                </a:r>
                <a:r>
                  <a:rPr lang="de-DE">
                    <a:latin typeface="Arial"/>
                    <a:cs typeface="Arial"/>
                  </a:rPr>
                  <a:t>kWh/(m²a)</a:t>
                </a:r>
                <a:endParaRPr lang="de-DE"/>
              </a:p>
            </c:rich>
          </c:tx>
          <c:overlay val="0"/>
        </c:title>
        <c:numFmt formatCode="0" sourceLinked="1"/>
        <c:majorTickMark val="out"/>
        <c:minorTickMark val="none"/>
        <c:tickLblPos val="nextTo"/>
        <c:txPr>
          <a:bodyPr rot="0" vert="horz" anchor="ctr" anchorCtr="0"/>
          <a:lstStyle/>
          <a:p>
            <a:pPr>
              <a:defRPr sz="1000" b="0" i="0" u="none" strike="noStrike">
                <a:solidFill>
                  <a:srgbClr val="000000"/>
                </a:solidFill>
                <a:latin typeface="Calibri"/>
                <a:ea typeface="Calibri"/>
                <a:cs typeface="Calibri"/>
              </a:defRPr>
            </a:pPr>
            <a:endParaRPr lang="de-DE"/>
          </a:p>
        </c:txPr>
        <c:crossAx val="103371792"/>
        <c:crosses val="autoZero"/>
        <c:auto val="0"/>
        <c:lblAlgn val="ctr"/>
        <c:lblOffset val="100"/>
        <c:tickLblSkip val="4"/>
        <c:tickMarkSkip val="2"/>
        <c:noMultiLvlLbl val="0"/>
      </c:catAx>
      <c:valAx>
        <c:axId val="103371792"/>
        <c:scaling>
          <c:orientation val="minMax"/>
        </c:scaling>
        <c:delete val="0"/>
        <c:axPos val="l"/>
        <c:majorGridlines/>
        <c:title>
          <c:tx>
            <c:rich>
              <a:bodyPr rot="-5400000" vert="horz"/>
              <a:lstStyle/>
              <a:p>
                <a:pPr>
                  <a:defRPr/>
                </a:pPr>
                <a:r>
                  <a:rPr lang="en-US" b="1">
                    <a:latin typeface="Arial"/>
                    <a:cs typeface="Arial"/>
                  </a:rPr>
                  <a:t>Punktevergabe</a:t>
                </a:r>
                <a:endParaRPr lang="en-US"/>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71008"/>
        <c:crosses val="autoZero"/>
        <c:crossBetween val="midCat"/>
        <c:majorUnit val="15"/>
        <c:minorUnit val="5"/>
      </c:valAx>
    </c:plotArea>
    <c:legend>
      <c:legendPos val="r"/>
      <c:overlay val="0"/>
      <c:txPr>
        <a:bodyPr/>
        <a:lstStyle/>
        <a:p>
          <a:pPr>
            <a:defRPr sz="900" b="0" i="0" u="none" strike="noStrike">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a:solidFill>
                  <a:srgbClr val="000000"/>
                </a:solidFill>
                <a:latin typeface="Calibri"/>
                <a:ea typeface="Calibri"/>
                <a:cs typeface="Calibri"/>
              </a:defRPr>
            </a:pPr>
            <a:r>
              <a:rPr lang="de-DE" sz="1800" b="1" i="0" u="none" strike="noStrike" baseline="0">
                <a:effectLst/>
                <a:latin typeface="Arial" panose="020B0604020202020204" pitchFamily="34" charset="0"/>
                <a:cs typeface="Arial" panose="020B0604020202020204" pitchFamily="34" charset="0"/>
              </a:rPr>
              <a:t>Emissionen CO</a:t>
            </a:r>
            <a:r>
              <a:rPr lang="de-DE" sz="1800" b="1" i="0" u="none" strike="noStrike" baseline="-25000">
                <a:effectLst/>
                <a:latin typeface="Arial" panose="020B0604020202020204" pitchFamily="34" charset="0"/>
                <a:cs typeface="Arial" panose="020B0604020202020204" pitchFamily="34" charset="0"/>
              </a:rPr>
              <a:t>2</a:t>
            </a:r>
            <a:r>
              <a:rPr lang="de-DE" sz="1800" b="1" i="0" u="none" strike="noStrike" baseline="0">
                <a:effectLst/>
                <a:latin typeface="Arial" panose="020B0604020202020204" pitchFamily="34" charset="0"/>
                <a:cs typeface="Arial" panose="020B0604020202020204" pitchFamily="34" charset="0"/>
              </a:rPr>
              <a:t>-Äquivalente</a:t>
            </a:r>
            <a:r>
              <a:rPr lang="de-DE" b="1">
                <a:latin typeface="Arial" panose="020B0604020202020204" pitchFamily="34" charset="0"/>
                <a:cs typeface="Arial" panose="020B0604020202020204" pitchFamily="34" charset="0"/>
              </a:rPr>
              <a:t> </a:t>
            </a:r>
            <a:r>
              <a:rPr lang="de-DE" b="1">
                <a:latin typeface="Arial"/>
                <a:cs typeface="Arial"/>
              </a:rPr>
              <a:t>Sanierung</a:t>
            </a:r>
            <a:endParaRPr lang="de-DE"/>
          </a:p>
        </c:rich>
      </c:tx>
      <c:overlay val="0"/>
    </c:title>
    <c:autoTitleDeleted val="0"/>
    <c:plotArea>
      <c:layout/>
      <c:lineChart>
        <c:grouping val="standard"/>
        <c:varyColors val="0"/>
        <c:ser>
          <c:idx val="0"/>
          <c:order val="0"/>
          <c:tx>
            <c:strRef>
              <c:f>'B1 Graphik'!$Z$74:$AA$74</c:f>
              <c:strCache>
                <c:ptCount val="1"/>
                <c:pt idx="0">
                  <c:v>Sanierung</c:v>
                </c:pt>
              </c:strCache>
            </c:strRef>
          </c:tx>
          <c:spPr>
            <a:ln w="28575">
              <a:solidFill>
                <a:schemeClr val="tx1">
                  <a:lumMod val="95000"/>
                  <a:lumOff val="5000"/>
                </a:schemeClr>
              </a:solidFill>
            </a:ln>
          </c:spPr>
          <c:marker>
            <c:symbol val="none"/>
          </c:marker>
          <c:cat>
            <c:numRef>
              <c:f>'B1 Graphik'!$Z$76:$Z$176</c:f>
              <c:numCache>
                <c:formatCode>0</c:formatCode>
                <c:ptCount val="10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numCache>
            </c:numRef>
          </c:cat>
          <c:val>
            <c:numRef>
              <c:f>'B1 Graphik'!$AA$76:$AA$176</c:f>
              <c:numCache>
                <c:formatCode>0</c:formatCode>
                <c:ptCount val="101"/>
                <c:pt idx="0">
                  <c:v>135</c:v>
                </c:pt>
                <c:pt idx="1">
                  <c:v>135</c:v>
                </c:pt>
                <c:pt idx="2">
                  <c:v>135</c:v>
                </c:pt>
                <c:pt idx="3">
                  <c:v>135</c:v>
                </c:pt>
                <c:pt idx="4">
                  <c:v>135</c:v>
                </c:pt>
                <c:pt idx="5">
                  <c:v>135</c:v>
                </c:pt>
                <c:pt idx="6">
                  <c:v>135</c:v>
                </c:pt>
                <c:pt idx="7">
                  <c:v>135</c:v>
                </c:pt>
                <c:pt idx="8">
                  <c:v>135</c:v>
                </c:pt>
                <c:pt idx="9">
                  <c:v>135</c:v>
                </c:pt>
                <c:pt idx="10">
                  <c:v>135</c:v>
                </c:pt>
                <c:pt idx="11">
                  <c:v>135</c:v>
                </c:pt>
                <c:pt idx="12">
                  <c:v>135</c:v>
                </c:pt>
                <c:pt idx="13">
                  <c:v>135</c:v>
                </c:pt>
                <c:pt idx="14">
                  <c:v>135</c:v>
                </c:pt>
                <c:pt idx="15">
                  <c:v>135</c:v>
                </c:pt>
                <c:pt idx="16">
                  <c:v>135</c:v>
                </c:pt>
                <c:pt idx="17">
                  <c:v>135</c:v>
                </c:pt>
                <c:pt idx="18">
                  <c:v>135</c:v>
                </c:pt>
                <c:pt idx="19">
                  <c:v>135</c:v>
                </c:pt>
                <c:pt idx="20">
                  <c:v>135</c:v>
                </c:pt>
                <c:pt idx="21">
                  <c:v>135</c:v>
                </c:pt>
                <c:pt idx="22">
                  <c:v>135</c:v>
                </c:pt>
                <c:pt idx="23">
                  <c:v>135</c:v>
                </c:pt>
                <c:pt idx="24">
                  <c:v>135</c:v>
                </c:pt>
                <c:pt idx="25">
                  <c:v>135</c:v>
                </c:pt>
                <c:pt idx="26">
                  <c:v>135</c:v>
                </c:pt>
                <c:pt idx="27">
                  <c:v>135</c:v>
                </c:pt>
                <c:pt idx="28">
                  <c:v>135</c:v>
                </c:pt>
                <c:pt idx="29">
                  <c:v>135</c:v>
                </c:pt>
                <c:pt idx="30">
                  <c:v>135</c:v>
                </c:pt>
                <c:pt idx="31">
                  <c:v>135</c:v>
                </c:pt>
                <c:pt idx="32">
                  <c:v>135</c:v>
                </c:pt>
                <c:pt idx="33">
                  <c:v>135</c:v>
                </c:pt>
                <c:pt idx="34">
                  <c:v>135</c:v>
                </c:pt>
                <c:pt idx="35">
                  <c:v>135</c:v>
                </c:pt>
                <c:pt idx="36">
                  <c:v>135</c:v>
                </c:pt>
                <c:pt idx="37">
                  <c:v>135</c:v>
                </c:pt>
                <c:pt idx="38">
                  <c:v>135</c:v>
                </c:pt>
                <c:pt idx="39">
                  <c:v>135</c:v>
                </c:pt>
                <c:pt idx="40">
                  <c:v>135</c:v>
                </c:pt>
                <c:pt idx="41">
                  <c:v>135</c:v>
                </c:pt>
                <c:pt idx="42">
                  <c:v>135</c:v>
                </c:pt>
                <c:pt idx="43">
                  <c:v>135</c:v>
                </c:pt>
                <c:pt idx="44">
                  <c:v>135</c:v>
                </c:pt>
                <c:pt idx="45">
                  <c:v>135</c:v>
                </c:pt>
                <c:pt idx="46">
                  <c:v>135</c:v>
                </c:pt>
                <c:pt idx="47">
                  <c:v>135</c:v>
                </c:pt>
                <c:pt idx="48">
                  <c:v>135</c:v>
                </c:pt>
                <c:pt idx="49">
                  <c:v>135</c:v>
                </c:pt>
                <c:pt idx="50">
                  <c:v>135</c:v>
                </c:pt>
                <c:pt idx="51">
                  <c:v>135</c:v>
                </c:pt>
                <c:pt idx="52">
                  <c:v>135</c:v>
                </c:pt>
                <c:pt idx="53">
                  <c:v>135</c:v>
                </c:pt>
                <c:pt idx="54">
                  <c:v>135</c:v>
                </c:pt>
                <c:pt idx="55">
                  <c:v>135</c:v>
                </c:pt>
                <c:pt idx="56">
                  <c:v>135</c:v>
                </c:pt>
                <c:pt idx="57">
                  <c:v>135</c:v>
                </c:pt>
                <c:pt idx="58">
                  <c:v>130.90909090909091</c:v>
                </c:pt>
                <c:pt idx="59">
                  <c:v>126.81818181818181</c:v>
                </c:pt>
                <c:pt idx="60">
                  <c:v>122.72727272727272</c:v>
                </c:pt>
                <c:pt idx="61">
                  <c:v>118.63636363636364</c:v>
                </c:pt>
                <c:pt idx="62">
                  <c:v>114.54545454545455</c:v>
                </c:pt>
                <c:pt idx="63">
                  <c:v>110.45454545454545</c:v>
                </c:pt>
                <c:pt idx="64">
                  <c:v>106.36363636363636</c:v>
                </c:pt>
                <c:pt idx="65">
                  <c:v>102.27272727272727</c:v>
                </c:pt>
                <c:pt idx="66">
                  <c:v>98.181818181818187</c:v>
                </c:pt>
                <c:pt idx="67">
                  <c:v>94.090909090909093</c:v>
                </c:pt>
                <c:pt idx="68">
                  <c:v>90</c:v>
                </c:pt>
                <c:pt idx="69">
                  <c:v>85.909090909090907</c:v>
                </c:pt>
                <c:pt idx="70">
                  <c:v>81.818181818181813</c:v>
                </c:pt>
                <c:pt idx="71">
                  <c:v>77.72727272727272</c:v>
                </c:pt>
                <c:pt idx="72">
                  <c:v>73.63636363636364</c:v>
                </c:pt>
                <c:pt idx="73">
                  <c:v>69.545454545454547</c:v>
                </c:pt>
                <c:pt idx="74">
                  <c:v>65.454545454545453</c:v>
                </c:pt>
                <c:pt idx="75">
                  <c:v>61.36363636363636</c:v>
                </c:pt>
                <c:pt idx="76">
                  <c:v>57.272727272727273</c:v>
                </c:pt>
                <c:pt idx="77">
                  <c:v>53.18181818181818</c:v>
                </c:pt>
                <c:pt idx="78">
                  <c:v>49.090909090909093</c:v>
                </c:pt>
                <c:pt idx="79">
                  <c:v>45</c:v>
                </c:pt>
                <c:pt idx="80">
                  <c:v>40.909090909090907</c:v>
                </c:pt>
                <c:pt idx="81">
                  <c:v>36.81818181818182</c:v>
                </c:pt>
                <c:pt idx="82">
                  <c:v>32.727272727272727</c:v>
                </c:pt>
                <c:pt idx="83">
                  <c:v>28.636363636363637</c:v>
                </c:pt>
                <c:pt idx="84">
                  <c:v>24.545454545454547</c:v>
                </c:pt>
                <c:pt idx="85">
                  <c:v>20.454545454545453</c:v>
                </c:pt>
                <c:pt idx="86">
                  <c:v>16.363636363636363</c:v>
                </c:pt>
                <c:pt idx="87">
                  <c:v>12.272727272727273</c:v>
                </c:pt>
                <c:pt idx="88">
                  <c:v>8.1818181818181817</c:v>
                </c:pt>
                <c:pt idx="89">
                  <c:v>4.0909090909090908</c:v>
                </c:pt>
                <c:pt idx="90">
                  <c:v>0</c:v>
                </c:pt>
                <c:pt idx="91">
                  <c:v>0</c:v>
                </c:pt>
                <c:pt idx="92">
                  <c:v>0</c:v>
                </c:pt>
                <c:pt idx="93">
                  <c:v>0</c:v>
                </c:pt>
                <c:pt idx="94">
                  <c:v>0</c:v>
                </c:pt>
                <c:pt idx="95">
                  <c:v>0</c:v>
                </c:pt>
                <c:pt idx="96">
                  <c:v>0</c:v>
                </c:pt>
                <c:pt idx="97">
                  <c:v>0</c:v>
                </c:pt>
                <c:pt idx="98">
                  <c:v>0</c:v>
                </c:pt>
                <c:pt idx="99">
                  <c:v>0</c:v>
                </c:pt>
                <c:pt idx="100">
                  <c:v>0</c:v>
                </c:pt>
              </c:numCache>
            </c:numRef>
          </c:val>
          <c:smooth val="0"/>
          <c:extLst>
            <c:ext xmlns:c16="http://schemas.microsoft.com/office/drawing/2014/chart" uri="{C3380CC4-5D6E-409C-BE32-E72D297353CC}">
              <c16:uniqueId val="{00000001-0A5C-4D92-B89D-E35636282DA0}"/>
            </c:ext>
          </c:extLst>
        </c:ser>
        <c:dLbls>
          <c:showLegendKey val="0"/>
          <c:showVal val="0"/>
          <c:showCatName val="0"/>
          <c:showSerName val="0"/>
          <c:showPercent val="0"/>
          <c:showBubbleSize val="0"/>
        </c:dLbls>
        <c:smooth val="0"/>
        <c:axId val="103372184"/>
        <c:axId val="103364736"/>
      </c:lineChart>
      <c:catAx>
        <c:axId val="103372184"/>
        <c:scaling>
          <c:orientation val="minMax"/>
        </c:scaling>
        <c:delete val="0"/>
        <c:axPos val="b"/>
        <c:title>
          <c:tx>
            <c:rich>
              <a:bodyPr/>
              <a:lstStyle/>
              <a:p>
                <a:pPr>
                  <a:defRPr sz="1000" b="1" i="0" u="none" strike="noStrike">
                    <a:solidFill>
                      <a:srgbClr val="000000"/>
                    </a:solidFill>
                    <a:latin typeface="Calibri"/>
                    <a:ea typeface="Calibri"/>
                    <a:cs typeface="Calibri"/>
                  </a:defRPr>
                </a:pPr>
                <a:r>
                  <a:rPr lang="de-DE">
                    <a:latin typeface="Arial"/>
                    <a:cs typeface="Arial"/>
                  </a:rPr>
                  <a:t>CO</a:t>
                </a:r>
                <a:r>
                  <a:rPr lang="de-DE" baseline="-25000">
                    <a:latin typeface="Arial"/>
                    <a:cs typeface="Arial"/>
                  </a:rPr>
                  <a:t>2</a:t>
                </a:r>
                <a:r>
                  <a:rPr lang="de-DE" baseline="0">
                    <a:latin typeface="Arial"/>
                    <a:cs typeface="Arial"/>
                  </a:rPr>
                  <a:t>-Äquivalente</a:t>
                </a:r>
                <a:r>
                  <a:rPr lang="de-DE">
                    <a:latin typeface="Arial"/>
                    <a:cs typeface="Arial"/>
                  </a:rPr>
                  <a:t> in</a:t>
                </a:r>
                <a:r>
                  <a:rPr lang="de-DE" baseline="0">
                    <a:latin typeface="Arial"/>
                    <a:cs typeface="Arial"/>
                  </a:rPr>
                  <a:t> </a:t>
                </a:r>
                <a:r>
                  <a:rPr lang="de-DE">
                    <a:latin typeface="Arial"/>
                    <a:cs typeface="Arial"/>
                  </a:rPr>
                  <a:t>kg/(m²a)</a:t>
                </a:r>
                <a:endParaRPr lang="de-DE"/>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64736"/>
        <c:crosses val="autoZero"/>
        <c:auto val="1"/>
        <c:lblAlgn val="ctr"/>
        <c:lblOffset val="100"/>
        <c:tickLblSkip val="5"/>
        <c:tickMarkSkip val="5"/>
        <c:noMultiLvlLbl val="0"/>
      </c:catAx>
      <c:valAx>
        <c:axId val="103364736"/>
        <c:scaling>
          <c:orientation val="minMax"/>
        </c:scaling>
        <c:delete val="0"/>
        <c:axPos val="l"/>
        <c:majorGridlines/>
        <c:title>
          <c:tx>
            <c:rich>
              <a:bodyPr rot="-5400000" vert="horz"/>
              <a:lstStyle/>
              <a:p>
                <a:pPr>
                  <a:defRPr/>
                </a:pPr>
                <a:r>
                  <a:rPr lang="en-US" b="1">
                    <a:latin typeface="Arial"/>
                    <a:cs typeface="Arial"/>
                  </a:rPr>
                  <a:t>Punktevergabe</a:t>
                </a:r>
                <a:endParaRPr lang="en-US"/>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72184"/>
        <c:crosses val="autoZero"/>
        <c:crossBetween val="midCat"/>
        <c:majorUnit val="15"/>
        <c:minorUnit val="5"/>
      </c:valAx>
    </c:plotArea>
    <c:legend>
      <c:legendPos val="r"/>
      <c:overlay val="0"/>
      <c:txPr>
        <a:bodyPr/>
        <a:lstStyle/>
        <a:p>
          <a:pPr>
            <a:defRPr sz="900" b="0" i="0" u="none" strike="noStrike">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a:solidFill>
            <a:srgbClr val="000000"/>
          </a:solidFill>
          <a:latin typeface="Calibri"/>
          <a:ea typeface="Calibri"/>
          <a:cs typeface="Calibri"/>
        </a:defRPr>
      </a:pPr>
      <a:endParaRPr lang="de-DE"/>
    </a:p>
  </c:txPr>
  <c:printSettings>
    <c:headerFooter/>
    <c:pageMargins b="0.78740157499999996" l="0.7000000000000004" r="0.7000000000000004" t="0.78740157499999996"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800" b="1" i="0" u="none" strike="noStrike" baseline="0">
                <a:effectLst/>
                <a:latin typeface="Arial" panose="020B0604020202020204" pitchFamily="34" charset="0"/>
                <a:cs typeface="Arial" panose="020B0604020202020204" pitchFamily="34" charset="0"/>
              </a:rPr>
              <a:t>Heizwärmebedarf HWB Sanierung</a:t>
            </a:r>
            <a:endParaRPr lang="en-US"/>
          </a:p>
        </c:rich>
      </c:tx>
      <c:overlay val="0"/>
    </c:title>
    <c:autoTitleDeleted val="0"/>
    <c:plotArea>
      <c:layout/>
      <c:lineChart>
        <c:grouping val="standard"/>
        <c:varyColors val="0"/>
        <c:ser>
          <c:idx val="0"/>
          <c:order val="0"/>
          <c:tx>
            <c:strRef>
              <c:f>'B1 Graphik'!$Q$74:$R$74</c:f>
              <c:strCache>
                <c:ptCount val="1"/>
                <c:pt idx="0">
                  <c:v>Sanierung</c:v>
                </c:pt>
              </c:strCache>
            </c:strRef>
          </c:tx>
          <c:spPr>
            <a:ln>
              <a:solidFill>
                <a:srgbClr val="C00000"/>
              </a:solidFill>
            </a:ln>
          </c:spPr>
          <c:marker>
            <c:symbol val="none"/>
          </c:marker>
          <c:cat>
            <c:numRef>
              <c:f>'B1 Graphik'!$Q$76:$Q$141</c:f>
              <c:numCache>
                <c:formatCode>0</c:formatCode>
                <c:ptCount val="6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numCache>
            </c:numRef>
          </c:cat>
          <c:val>
            <c:numRef>
              <c:f>'B1 Graphik'!$R$76:$R$141</c:f>
              <c:numCache>
                <c:formatCode>0</c:formatCode>
                <c:ptCount val="6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48.484848484848484</c:v>
                </c:pt>
                <c:pt idx="27">
                  <c:v>46.969696969696969</c:v>
                </c:pt>
                <c:pt idx="28">
                  <c:v>45.454545454545453</c:v>
                </c:pt>
                <c:pt idx="29">
                  <c:v>43.939393939393938</c:v>
                </c:pt>
                <c:pt idx="30">
                  <c:v>42.424242424242422</c:v>
                </c:pt>
                <c:pt idx="31">
                  <c:v>40.909090909090907</c:v>
                </c:pt>
                <c:pt idx="32">
                  <c:v>39.393939393939391</c:v>
                </c:pt>
                <c:pt idx="33">
                  <c:v>37.878787878787875</c:v>
                </c:pt>
                <c:pt idx="34">
                  <c:v>36.36363636363636</c:v>
                </c:pt>
                <c:pt idx="35">
                  <c:v>34.848484848484851</c:v>
                </c:pt>
                <c:pt idx="36">
                  <c:v>33.333333333333336</c:v>
                </c:pt>
                <c:pt idx="37">
                  <c:v>31.818181818181817</c:v>
                </c:pt>
                <c:pt idx="38">
                  <c:v>30.303030303030305</c:v>
                </c:pt>
                <c:pt idx="39">
                  <c:v>28.787878787878789</c:v>
                </c:pt>
                <c:pt idx="40">
                  <c:v>27.272727272727273</c:v>
                </c:pt>
                <c:pt idx="41">
                  <c:v>25.757575757575758</c:v>
                </c:pt>
                <c:pt idx="42">
                  <c:v>24.242424242424242</c:v>
                </c:pt>
                <c:pt idx="43">
                  <c:v>22.727272727272727</c:v>
                </c:pt>
                <c:pt idx="44">
                  <c:v>21.212121212121211</c:v>
                </c:pt>
                <c:pt idx="45">
                  <c:v>19.696969696969695</c:v>
                </c:pt>
                <c:pt idx="46">
                  <c:v>18.18181818181818</c:v>
                </c:pt>
                <c:pt idx="47">
                  <c:v>16.666666666666668</c:v>
                </c:pt>
                <c:pt idx="48">
                  <c:v>15.151515151515152</c:v>
                </c:pt>
                <c:pt idx="49">
                  <c:v>13.636363636363637</c:v>
                </c:pt>
                <c:pt idx="50">
                  <c:v>12.121212121212121</c:v>
                </c:pt>
                <c:pt idx="51">
                  <c:v>10.606060606060606</c:v>
                </c:pt>
                <c:pt idx="52">
                  <c:v>9.0909090909090899</c:v>
                </c:pt>
                <c:pt idx="53">
                  <c:v>7.5757575757575761</c:v>
                </c:pt>
                <c:pt idx="54">
                  <c:v>6.0606060606060606</c:v>
                </c:pt>
                <c:pt idx="55">
                  <c:v>4.545454545454545</c:v>
                </c:pt>
                <c:pt idx="56">
                  <c:v>3.0303030303030303</c:v>
                </c:pt>
                <c:pt idx="57">
                  <c:v>1.5151515151515151</c:v>
                </c:pt>
                <c:pt idx="58">
                  <c:v>0</c:v>
                </c:pt>
                <c:pt idx="59">
                  <c:v>0</c:v>
                </c:pt>
                <c:pt idx="60">
                  <c:v>0</c:v>
                </c:pt>
                <c:pt idx="61">
                  <c:v>0</c:v>
                </c:pt>
                <c:pt idx="62">
                  <c:v>0</c:v>
                </c:pt>
                <c:pt idx="63">
                  <c:v>0</c:v>
                </c:pt>
                <c:pt idx="64">
                  <c:v>0</c:v>
                </c:pt>
                <c:pt idx="65">
                  <c:v>0</c:v>
                </c:pt>
              </c:numCache>
            </c:numRef>
          </c:val>
          <c:smooth val="0"/>
          <c:extLst>
            <c:ext xmlns:c16="http://schemas.microsoft.com/office/drawing/2014/chart" uri="{C3380CC4-5D6E-409C-BE32-E72D297353CC}">
              <c16:uniqueId val="{00000001-0DA6-4037-AB3E-A2174E404BCA}"/>
            </c:ext>
          </c:extLst>
        </c:ser>
        <c:dLbls>
          <c:showLegendKey val="0"/>
          <c:showVal val="0"/>
          <c:showCatName val="0"/>
          <c:showSerName val="0"/>
          <c:showPercent val="0"/>
          <c:showBubbleSize val="0"/>
        </c:dLbls>
        <c:smooth val="0"/>
        <c:axId val="103365520"/>
        <c:axId val="103366304"/>
      </c:lineChart>
      <c:catAx>
        <c:axId val="103365520"/>
        <c:scaling>
          <c:orientation val="minMax"/>
        </c:scaling>
        <c:delete val="0"/>
        <c:axPos val="b"/>
        <c:title>
          <c:tx>
            <c:rich>
              <a:bodyPr/>
              <a:lstStyle/>
              <a:p>
                <a:pPr>
                  <a:defRPr/>
                </a:pPr>
                <a:r>
                  <a:rPr lang="de-DE" sz="1200" b="1" i="0" u="none" strike="noStrike" baseline="0">
                    <a:effectLst/>
                    <a:latin typeface="Arial" panose="020B0604020202020204" pitchFamily="34" charset="0"/>
                    <a:cs typeface="Arial" panose="020B0604020202020204" pitchFamily="34" charset="0"/>
                  </a:rPr>
                  <a:t>HWB</a:t>
                </a:r>
                <a:r>
                  <a:rPr lang="en-US" sz="1200">
                    <a:latin typeface="Arial"/>
                    <a:cs typeface="Arial"/>
                  </a:rPr>
                  <a:t> </a:t>
                </a:r>
                <a:r>
                  <a:rPr lang="en-US" sz="1000">
                    <a:latin typeface="Arial"/>
                    <a:cs typeface="Arial"/>
                  </a:rPr>
                  <a:t>in</a:t>
                </a:r>
                <a:r>
                  <a:rPr lang="en-US" sz="1000" baseline="0">
                    <a:latin typeface="Arial"/>
                    <a:cs typeface="Arial"/>
                  </a:rPr>
                  <a:t> </a:t>
                </a:r>
                <a:r>
                  <a:rPr lang="en-US">
                    <a:latin typeface="Arial"/>
                    <a:cs typeface="Arial"/>
                  </a:rPr>
                  <a:t>kWh/(m²a)</a:t>
                </a:r>
                <a:endParaRPr lang="en-US"/>
              </a:p>
            </c:rich>
          </c:tx>
          <c:overlay val="0"/>
        </c:title>
        <c:numFmt formatCode="0" sourceLinked="1"/>
        <c:majorTickMark val="out"/>
        <c:minorTickMark val="none"/>
        <c:tickLblPos val="nextTo"/>
        <c:crossAx val="103366304"/>
        <c:crosses val="autoZero"/>
        <c:auto val="1"/>
        <c:lblAlgn val="ctr"/>
        <c:lblOffset val="100"/>
        <c:tickLblSkip val="5"/>
        <c:tickMarkSkip val="5"/>
        <c:noMultiLvlLbl val="0"/>
      </c:catAx>
      <c:valAx>
        <c:axId val="103366304"/>
        <c:scaling>
          <c:orientation val="minMax"/>
          <c:max val="100"/>
          <c:min val="0"/>
        </c:scaling>
        <c:delete val="0"/>
        <c:axPos val="l"/>
        <c:majorGridlines/>
        <c:title>
          <c:tx>
            <c:rich>
              <a:bodyPr rot="-5400000" vert="horz"/>
              <a:lstStyle/>
              <a:p>
                <a:pPr>
                  <a:defRPr/>
                </a:pPr>
                <a:r>
                  <a:rPr lang="en-US">
                    <a:latin typeface="Arial"/>
                    <a:cs typeface="Arial"/>
                  </a:rPr>
                  <a:t>Punktevergabe</a:t>
                </a:r>
                <a:endParaRPr lang="en-US"/>
              </a:p>
            </c:rich>
          </c:tx>
          <c:overlay val="0"/>
        </c:title>
        <c:numFmt formatCode="0" sourceLinked="1"/>
        <c:majorTickMark val="out"/>
        <c:minorTickMark val="none"/>
        <c:tickLblPos val="nextTo"/>
        <c:crossAx val="103365520"/>
        <c:crosses val="autoZero"/>
        <c:crossBetween val="midCat"/>
        <c:majorUnit val="10"/>
      </c:valAx>
    </c:plotArea>
    <c:legend>
      <c:legendPos val="r"/>
      <c:overlay val="0"/>
    </c:legend>
    <c:plotVisOnly val="1"/>
    <c:dispBlanksAs val="gap"/>
    <c:showDLblsOverMax val="0"/>
  </c:chart>
  <c:printSettings>
    <c:headerFooter/>
    <c:pageMargins b="0.78740157499999996" l="0.7" r="0.7" t="0.78740157499999996"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800" b="1" i="0" u="none" strike="noStrike" baseline="0">
                <a:effectLst/>
                <a:latin typeface="Arial" panose="020B0604020202020204" pitchFamily="34" charset="0"/>
                <a:cs typeface="Arial" panose="020B0604020202020204" pitchFamily="34" charset="0"/>
              </a:rPr>
              <a:t>Kühlbedarf KB Sanierung</a:t>
            </a:r>
            <a:endParaRPr lang="en-US"/>
          </a:p>
        </c:rich>
      </c:tx>
      <c:overlay val="0"/>
    </c:title>
    <c:autoTitleDeleted val="0"/>
    <c:plotArea>
      <c:layout/>
      <c:lineChart>
        <c:grouping val="standard"/>
        <c:varyColors val="0"/>
        <c:ser>
          <c:idx val="0"/>
          <c:order val="0"/>
          <c:tx>
            <c:strRef>
              <c:f>'B1 Graphik'!$T$74:$U$74</c:f>
              <c:strCache>
                <c:ptCount val="1"/>
                <c:pt idx="0">
                  <c:v>Sanierung</c:v>
                </c:pt>
              </c:strCache>
            </c:strRef>
          </c:tx>
          <c:marker>
            <c:symbol val="none"/>
          </c:marker>
          <c:cat>
            <c:numRef>
              <c:f>'B1 Graphik'!$T$76:$T$100</c:f>
              <c:numCache>
                <c:formatCode>0</c:formatCode>
                <c:ptCount val="2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numCache>
            </c:numRef>
          </c:cat>
          <c:val>
            <c:numRef>
              <c:f>'B1 Graphik'!$U$76:$U$100</c:f>
              <c:numCache>
                <c:formatCode>0</c:formatCode>
                <c:ptCount val="25"/>
                <c:pt idx="0">
                  <c:v>45</c:v>
                </c:pt>
                <c:pt idx="1">
                  <c:v>45</c:v>
                </c:pt>
                <c:pt idx="2">
                  <c:v>45</c:v>
                </c:pt>
                <c:pt idx="3">
                  <c:v>45</c:v>
                </c:pt>
                <c:pt idx="4">
                  <c:v>45</c:v>
                </c:pt>
                <c:pt idx="5">
                  <c:v>42.1875</c:v>
                </c:pt>
                <c:pt idx="6">
                  <c:v>39.375</c:v>
                </c:pt>
                <c:pt idx="7">
                  <c:v>36.5625</c:v>
                </c:pt>
                <c:pt idx="8">
                  <c:v>33.75</c:v>
                </c:pt>
                <c:pt idx="9">
                  <c:v>30.9375</c:v>
                </c:pt>
                <c:pt idx="10">
                  <c:v>28.125</c:v>
                </c:pt>
                <c:pt idx="11">
                  <c:v>25.3125</c:v>
                </c:pt>
                <c:pt idx="12">
                  <c:v>22.5</c:v>
                </c:pt>
                <c:pt idx="13">
                  <c:v>19.6875</c:v>
                </c:pt>
                <c:pt idx="14">
                  <c:v>16.875</c:v>
                </c:pt>
                <c:pt idx="15">
                  <c:v>14.0625</c:v>
                </c:pt>
                <c:pt idx="16">
                  <c:v>11.25</c:v>
                </c:pt>
                <c:pt idx="17">
                  <c:v>8.4375</c:v>
                </c:pt>
                <c:pt idx="18">
                  <c:v>5.625</c:v>
                </c:pt>
                <c:pt idx="19">
                  <c:v>2.8125</c:v>
                </c:pt>
                <c:pt idx="20">
                  <c:v>0</c:v>
                </c:pt>
                <c:pt idx="21">
                  <c:v>0</c:v>
                </c:pt>
                <c:pt idx="22">
                  <c:v>0</c:v>
                </c:pt>
                <c:pt idx="23">
                  <c:v>0</c:v>
                </c:pt>
                <c:pt idx="24">
                  <c:v>0</c:v>
                </c:pt>
              </c:numCache>
            </c:numRef>
          </c:val>
          <c:smooth val="0"/>
          <c:extLst>
            <c:ext xmlns:c16="http://schemas.microsoft.com/office/drawing/2014/chart" uri="{C3380CC4-5D6E-409C-BE32-E72D297353CC}">
              <c16:uniqueId val="{00000001-71ED-49E7-89F0-DD4C09FB13EE}"/>
            </c:ext>
          </c:extLst>
        </c:ser>
        <c:dLbls>
          <c:showLegendKey val="0"/>
          <c:showVal val="0"/>
          <c:showCatName val="0"/>
          <c:showSerName val="0"/>
          <c:showPercent val="0"/>
          <c:showBubbleSize val="0"/>
        </c:dLbls>
        <c:smooth val="0"/>
        <c:axId val="104017064"/>
        <c:axId val="104017456"/>
      </c:lineChart>
      <c:catAx>
        <c:axId val="104017064"/>
        <c:scaling>
          <c:orientation val="minMax"/>
        </c:scaling>
        <c:delete val="0"/>
        <c:axPos val="b"/>
        <c:title>
          <c:tx>
            <c:rich>
              <a:bodyPr/>
              <a:lstStyle/>
              <a:p>
                <a:pPr>
                  <a:defRPr/>
                </a:pPr>
                <a:r>
                  <a:rPr lang="de-DE" sz="1200" b="1" i="0" u="none" strike="noStrike" baseline="0">
                    <a:effectLst/>
                    <a:latin typeface="Arial" panose="020B0604020202020204" pitchFamily="34" charset="0"/>
                    <a:cs typeface="Arial" panose="020B0604020202020204" pitchFamily="34" charset="0"/>
                  </a:rPr>
                  <a:t>KB</a:t>
                </a:r>
                <a:r>
                  <a:rPr lang="en-US">
                    <a:latin typeface="Arial"/>
                    <a:cs typeface="Arial"/>
                  </a:rPr>
                  <a:t> in</a:t>
                </a:r>
                <a:r>
                  <a:rPr lang="en-US" baseline="0">
                    <a:latin typeface="Arial"/>
                    <a:cs typeface="Arial"/>
                  </a:rPr>
                  <a:t> </a:t>
                </a:r>
                <a:r>
                  <a:rPr lang="en-US">
                    <a:latin typeface="Arial"/>
                    <a:cs typeface="Arial"/>
                  </a:rPr>
                  <a:t>kWh/(m²a)</a:t>
                </a:r>
                <a:endParaRPr lang="en-US"/>
              </a:p>
            </c:rich>
          </c:tx>
          <c:overlay val="0"/>
        </c:title>
        <c:numFmt formatCode="0" sourceLinked="1"/>
        <c:majorTickMark val="out"/>
        <c:minorTickMark val="none"/>
        <c:tickLblPos val="nextTo"/>
        <c:crossAx val="104017456"/>
        <c:crosses val="autoZero"/>
        <c:auto val="1"/>
        <c:lblAlgn val="ctr"/>
        <c:lblOffset val="100"/>
        <c:tickLblSkip val="2"/>
        <c:tickMarkSkip val="1"/>
        <c:noMultiLvlLbl val="0"/>
      </c:catAx>
      <c:valAx>
        <c:axId val="104017456"/>
        <c:scaling>
          <c:orientation val="minMax"/>
        </c:scaling>
        <c:delete val="0"/>
        <c:axPos val="l"/>
        <c:majorGridlines/>
        <c:title>
          <c:tx>
            <c:rich>
              <a:bodyPr rot="-5400000" vert="horz"/>
              <a:lstStyle/>
              <a:p>
                <a:pPr>
                  <a:defRPr/>
                </a:pPr>
                <a:r>
                  <a:rPr lang="en-US">
                    <a:latin typeface="Arial"/>
                    <a:cs typeface="Arial"/>
                  </a:rPr>
                  <a:t>Punktevergabe</a:t>
                </a:r>
                <a:endParaRPr lang="en-US"/>
              </a:p>
            </c:rich>
          </c:tx>
          <c:overlay val="0"/>
        </c:title>
        <c:numFmt formatCode="0" sourceLinked="1"/>
        <c:majorTickMark val="out"/>
        <c:minorTickMark val="none"/>
        <c:tickLblPos val="nextTo"/>
        <c:crossAx val="104017064"/>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a:solidFill>
                  <a:srgbClr val="000000"/>
                </a:solidFill>
                <a:latin typeface="Calibri"/>
                <a:ea typeface="Calibri"/>
                <a:cs typeface="Calibri"/>
              </a:defRPr>
            </a:pPr>
            <a:r>
              <a:rPr lang="de-DE" sz="1800" b="1" i="0" u="none" strike="noStrike" baseline="0">
                <a:effectLst/>
                <a:latin typeface="Arial" panose="020B0604020202020204" pitchFamily="34" charset="0"/>
                <a:cs typeface="Arial" panose="020B0604020202020204" pitchFamily="34" charset="0"/>
              </a:rPr>
              <a:t>Primärenergiebedarf PEB</a:t>
            </a:r>
            <a:r>
              <a:rPr lang="de-DE" b="1">
                <a:latin typeface="Arial" panose="020B0604020202020204" pitchFamily="34" charset="0"/>
                <a:cs typeface="Arial" panose="020B0604020202020204" pitchFamily="34" charset="0"/>
              </a:rPr>
              <a:t> </a:t>
            </a:r>
            <a:r>
              <a:rPr lang="de-DE">
                <a:latin typeface="Arial"/>
                <a:cs typeface="Arial"/>
              </a:rPr>
              <a:t>Neubau</a:t>
            </a:r>
            <a:endParaRPr lang="de-DE"/>
          </a:p>
        </c:rich>
      </c:tx>
      <c:overlay val="0"/>
    </c:title>
    <c:autoTitleDeleted val="0"/>
    <c:plotArea>
      <c:layout/>
      <c:lineChart>
        <c:grouping val="standard"/>
        <c:varyColors val="0"/>
        <c:ser>
          <c:idx val="0"/>
          <c:order val="0"/>
          <c:tx>
            <c:strRef>
              <c:f>'B1 Graphik'!$I$74:$J$74</c:f>
              <c:strCache>
                <c:ptCount val="1"/>
                <c:pt idx="0">
                  <c:v>Neubau</c:v>
                </c:pt>
              </c:strCache>
            </c:strRef>
          </c:tx>
          <c:spPr>
            <a:ln>
              <a:solidFill>
                <a:srgbClr val="C00000"/>
              </a:solidFill>
            </a:ln>
          </c:spPr>
          <c:marker>
            <c:symbol val="none"/>
          </c:marker>
          <c:cat>
            <c:numRef>
              <c:f>'B1 Graphik'!$I$76:$I$118</c:f>
              <c:numCache>
                <c:formatCode>0</c:formatCode>
                <c:ptCount val="43"/>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numCache>
            </c:numRef>
          </c:cat>
          <c:val>
            <c:numRef>
              <c:f>'B1 Graphik'!$J$76:$J$118</c:f>
              <c:numCache>
                <c:formatCode>0</c:formatCode>
                <c:ptCount val="43"/>
                <c:pt idx="0">
                  <c:v>120</c:v>
                </c:pt>
                <c:pt idx="1">
                  <c:v>120</c:v>
                </c:pt>
                <c:pt idx="2">
                  <c:v>120</c:v>
                </c:pt>
                <c:pt idx="3">
                  <c:v>120</c:v>
                </c:pt>
                <c:pt idx="4">
                  <c:v>120</c:v>
                </c:pt>
                <c:pt idx="5">
                  <c:v>120</c:v>
                </c:pt>
                <c:pt idx="6">
                  <c:v>120</c:v>
                </c:pt>
                <c:pt idx="7">
                  <c:v>120</c:v>
                </c:pt>
                <c:pt idx="8">
                  <c:v>120</c:v>
                </c:pt>
                <c:pt idx="9">
                  <c:v>120</c:v>
                </c:pt>
                <c:pt idx="10">
                  <c:v>120</c:v>
                </c:pt>
                <c:pt idx="11">
                  <c:v>120</c:v>
                </c:pt>
                <c:pt idx="12">
                  <c:v>120</c:v>
                </c:pt>
                <c:pt idx="13">
                  <c:v>115</c:v>
                </c:pt>
                <c:pt idx="14">
                  <c:v>110</c:v>
                </c:pt>
                <c:pt idx="15">
                  <c:v>105</c:v>
                </c:pt>
                <c:pt idx="16">
                  <c:v>100</c:v>
                </c:pt>
                <c:pt idx="17">
                  <c:v>95</c:v>
                </c:pt>
                <c:pt idx="18">
                  <c:v>90</c:v>
                </c:pt>
                <c:pt idx="19">
                  <c:v>85</c:v>
                </c:pt>
                <c:pt idx="20">
                  <c:v>80</c:v>
                </c:pt>
                <c:pt idx="21">
                  <c:v>75</c:v>
                </c:pt>
                <c:pt idx="22">
                  <c:v>70</c:v>
                </c:pt>
                <c:pt idx="23">
                  <c:v>65</c:v>
                </c:pt>
                <c:pt idx="24">
                  <c:v>60</c:v>
                </c:pt>
                <c:pt idx="25">
                  <c:v>55</c:v>
                </c:pt>
                <c:pt idx="26">
                  <c:v>50</c:v>
                </c:pt>
                <c:pt idx="27">
                  <c:v>45</c:v>
                </c:pt>
                <c:pt idx="28">
                  <c:v>40</c:v>
                </c:pt>
                <c:pt idx="29">
                  <c:v>35</c:v>
                </c:pt>
                <c:pt idx="30">
                  <c:v>30</c:v>
                </c:pt>
                <c:pt idx="31">
                  <c:v>25</c:v>
                </c:pt>
                <c:pt idx="32">
                  <c:v>20</c:v>
                </c:pt>
                <c:pt idx="33">
                  <c:v>15</c:v>
                </c:pt>
                <c:pt idx="34">
                  <c:v>10</c:v>
                </c:pt>
                <c:pt idx="35">
                  <c:v>5</c:v>
                </c:pt>
                <c:pt idx="36">
                  <c:v>0</c:v>
                </c:pt>
                <c:pt idx="37">
                  <c:v>0</c:v>
                </c:pt>
                <c:pt idx="38">
                  <c:v>0</c:v>
                </c:pt>
                <c:pt idx="39">
                  <c:v>0</c:v>
                </c:pt>
                <c:pt idx="40">
                  <c:v>0</c:v>
                </c:pt>
                <c:pt idx="41">
                  <c:v>0</c:v>
                </c:pt>
                <c:pt idx="42">
                  <c:v>0</c:v>
                </c:pt>
              </c:numCache>
            </c:numRef>
          </c:val>
          <c:smooth val="0"/>
          <c:extLst>
            <c:ext xmlns:c16="http://schemas.microsoft.com/office/drawing/2014/chart" uri="{C3380CC4-5D6E-409C-BE32-E72D297353CC}">
              <c16:uniqueId val="{00000000-F52E-4AB0-8317-99DCB0DABA97}"/>
            </c:ext>
          </c:extLst>
        </c:ser>
        <c:ser>
          <c:idx val="1"/>
          <c:order val="1"/>
          <c:tx>
            <c:strRef>
              <c:f>'B1 Graphik'!$W$74:$X$74</c:f>
              <c:strCache>
                <c:ptCount val="1"/>
                <c:pt idx="0">
                  <c:v>Sanierung</c:v>
                </c:pt>
              </c:strCache>
            </c:strRef>
          </c:tx>
          <c:spPr>
            <a:ln>
              <a:solidFill>
                <a:srgbClr val="00B0F0"/>
              </a:solidFill>
            </a:ln>
          </c:spPr>
          <c:marker>
            <c:symbol val="none"/>
          </c:marker>
          <c:val>
            <c:numRef>
              <c:f>'B1 Graphik'!$X$76:$X$118</c:f>
              <c:numCache>
                <c:formatCode>0</c:formatCode>
                <c:ptCount val="43"/>
                <c:pt idx="0">
                  <c:v>120</c:v>
                </c:pt>
                <c:pt idx="1">
                  <c:v>120</c:v>
                </c:pt>
                <c:pt idx="2">
                  <c:v>120</c:v>
                </c:pt>
                <c:pt idx="3">
                  <c:v>120</c:v>
                </c:pt>
                <c:pt idx="4">
                  <c:v>120</c:v>
                </c:pt>
                <c:pt idx="5">
                  <c:v>120</c:v>
                </c:pt>
                <c:pt idx="6">
                  <c:v>120</c:v>
                </c:pt>
                <c:pt idx="7">
                  <c:v>120</c:v>
                </c:pt>
                <c:pt idx="8">
                  <c:v>120</c:v>
                </c:pt>
                <c:pt idx="9">
                  <c:v>120</c:v>
                </c:pt>
                <c:pt idx="10">
                  <c:v>120</c:v>
                </c:pt>
                <c:pt idx="11">
                  <c:v>120</c:v>
                </c:pt>
                <c:pt idx="12">
                  <c:v>120</c:v>
                </c:pt>
                <c:pt idx="13">
                  <c:v>115.71428571428571</c:v>
                </c:pt>
                <c:pt idx="14">
                  <c:v>111.42857142857142</c:v>
                </c:pt>
                <c:pt idx="15">
                  <c:v>107.14285714285714</c:v>
                </c:pt>
                <c:pt idx="16">
                  <c:v>102.85714285714285</c:v>
                </c:pt>
                <c:pt idx="17">
                  <c:v>98.571428571428569</c:v>
                </c:pt>
                <c:pt idx="18">
                  <c:v>94.285714285714278</c:v>
                </c:pt>
                <c:pt idx="19">
                  <c:v>90</c:v>
                </c:pt>
                <c:pt idx="20">
                  <c:v>85.714285714285708</c:v>
                </c:pt>
                <c:pt idx="21">
                  <c:v>81.428571428571431</c:v>
                </c:pt>
                <c:pt idx="22">
                  <c:v>77.142857142857139</c:v>
                </c:pt>
                <c:pt idx="23">
                  <c:v>72.857142857142847</c:v>
                </c:pt>
                <c:pt idx="24">
                  <c:v>68.571428571428569</c:v>
                </c:pt>
                <c:pt idx="25">
                  <c:v>64.285714285714278</c:v>
                </c:pt>
                <c:pt idx="26">
                  <c:v>60</c:v>
                </c:pt>
                <c:pt idx="27">
                  <c:v>55.714285714285708</c:v>
                </c:pt>
                <c:pt idx="28">
                  <c:v>51.428571428571423</c:v>
                </c:pt>
                <c:pt idx="29">
                  <c:v>47.142857142857139</c:v>
                </c:pt>
                <c:pt idx="30">
                  <c:v>42.857142857142854</c:v>
                </c:pt>
                <c:pt idx="31">
                  <c:v>38.571428571428569</c:v>
                </c:pt>
                <c:pt idx="32">
                  <c:v>34.285714285714285</c:v>
                </c:pt>
                <c:pt idx="33">
                  <c:v>30</c:v>
                </c:pt>
                <c:pt idx="34">
                  <c:v>25.714285714285712</c:v>
                </c:pt>
                <c:pt idx="35">
                  <c:v>21.428571428571427</c:v>
                </c:pt>
                <c:pt idx="36">
                  <c:v>17.142857142857142</c:v>
                </c:pt>
                <c:pt idx="37">
                  <c:v>12.857142857142856</c:v>
                </c:pt>
                <c:pt idx="38">
                  <c:v>8.5714285714285712</c:v>
                </c:pt>
                <c:pt idx="39">
                  <c:v>4.2857142857142856</c:v>
                </c:pt>
                <c:pt idx="40">
                  <c:v>0</c:v>
                </c:pt>
                <c:pt idx="41">
                  <c:v>0</c:v>
                </c:pt>
                <c:pt idx="42">
                  <c:v>0</c:v>
                </c:pt>
              </c:numCache>
            </c:numRef>
          </c:val>
          <c:smooth val="0"/>
          <c:extLst>
            <c:ext xmlns:c16="http://schemas.microsoft.com/office/drawing/2014/chart" uri="{C3380CC4-5D6E-409C-BE32-E72D297353CC}">
              <c16:uniqueId val="{00000001-F52E-4AB0-8317-99DCB0DABA97}"/>
            </c:ext>
          </c:extLst>
        </c:ser>
        <c:dLbls>
          <c:showLegendKey val="0"/>
          <c:showVal val="0"/>
          <c:showCatName val="0"/>
          <c:showSerName val="0"/>
          <c:showPercent val="0"/>
          <c:showBubbleSize val="0"/>
        </c:dLbls>
        <c:smooth val="0"/>
        <c:axId val="103371008"/>
        <c:axId val="103371792"/>
      </c:lineChart>
      <c:catAx>
        <c:axId val="103371008"/>
        <c:scaling>
          <c:orientation val="minMax"/>
        </c:scaling>
        <c:delete val="0"/>
        <c:axPos val="b"/>
        <c:title>
          <c:tx>
            <c:rich>
              <a:bodyPr/>
              <a:lstStyle/>
              <a:p>
                <a:pPr>
                  <a:defRPr sz="1000" b="1" i="0" u="none" strike="noStrike">
                    <a:solidFill>
                      <a:srgbClr val="000000"/>
                    </a:solidFill>
                    <a:latin typeface="Calibri"/>
                    <a:ea typeface="Calibri"/>
                    <a:cs typeface="Calibri"/>
                  </a:defRPr>
                </a:pPr>
                <a:r>
                  <a:rPr lang="de-DE" sz="1200" b="1" i="0" u="none" strike="noStrike" baseline="0">
                    <a:effectLst/>
                    <a:latin typeface="Arial" panose="020B0604020202020204" pitchFamily="34" charset="0"/>
                    <a:cs typeface="Arial" panose="020B0604020202020204" pitchFamily="34" charset="0"/>
                  </a:rPr>
                  <a:t>PEB</a:t>
                </a:r>
                <a:r>
                  <a:rPr lang="de-DE">
                    <a:latin typeface="Arial"/>
                    <a:cs typeface="Arial"/>
                  </a:rPr>
                  <a:t> in</a:t>
                </a:r>
                <a:r>
                  <a:rPr lang="de-DE" baseline="0">
                    <a:latin typeface="Arial"/>
                    <a:cs typeface="Arial"/>
                  </a:rPr>
                  <a:t> </a:t>
                </a:r>
                <a:r>
                  <a:rPr lang="de-DE">
                    <a:latin typeface="Arial"/>
                    <a:cs typeface="Arial"/>
                  </a:rPr>
                  <a:t>kWh/(m²a)</a:t>
                </a:r>
                <a:endParaRPr lang="de-DE"/>
              </a:p>
            </c:rich>
          </c:tx>
          <c:overlay val="0"/>
        </c:title>
        <c:numFmt formatCode="0" sourceLinked="1"/>
        <c:majorTickMark val="out"/>
        <c:minorTickMark val="none"/>
        <c:tickLblPos val="nextTo"/>
        <c:txPr>
          <a:bodyPr rot="0" vert="horz" anchor="ctr" anchorCtr="0"/>
          <a:lstStyle/>
          <a:p>
            <a:pPr>
              <a:defRPr sz="1000" b="0" i="0" u="none" strike="noStrike">
                <a:solidFill>
                  <a:srgbClr val="000000"/>
                </a:solidFill>
                <a:latin typeface="Calibri"/>
                <a:ea typeface="Calibri"/>
                <a:cs typeface="Calibri"/>
              </a:defRPr>
            </a:pPr>
            <a:endParaRPr lang="de-DE"/>
          </a:p>
        </c:txPr>
        <c:crossAx val="103371792"/>
        <c:crosses val="autoZero"/>
        <c:auto val="0"/>
        <c:lblAlgn val="ctr"/>
        <c:lblOffset val="100"/>
        <c:tickLblSkip val="4"/>
        <c:tickMarkSkip val="2"/>
        <c:noMultiLvlLbl val="0"/>
      </c:catAx>
      <c:valAx>
        <c:axId val="103371792"/>
        <c:scaling>
          <c:orientation val="minMax"/>
        </c:scaling>
        <c:delete val="0"/>
        <c:axPos val="l"/>
        <c:majorGridlines/>
        <c:title>
          <c:tx>
            <c:rich>
              <a:bodyPr rot="-5400000" vert="horz"/>
              <a:lstStyle/>
              <a:p>
                <a:pPr>
                  <a:defRPr/>
                </a:pPr>
                <a:r>
                  <a:rPr lang="en-US" b="1">
                    <a:latin typeface="Arial"/>
                    <a:cs typeface="Arial"/>
                  </a:rPr>
                  <a:t>Punktevergabe</a:t>
                </a:r>
                <a:endParaRPr lang="en-US"/>
              </a:p>
            </c:rich>
          </c:tx>
          <c:overlay val="0"/>
        </c:title>
        <c:numFmt formatCode="0" sourceLinked="1"/>
        <c:majorTickMark val="out"/>
        <c:minorTickMark val="none"/>
        <c:tickLblPos val="nextTo"/>
        <c:txPr>
          <a:bodyPr rot="0" vert="horz"/>
          <a:lstStyle/>
          <a:p>
            <a:pPr>
              <a:defRPr sz="1000" b="0" i="0" u="none" strike="noStrike">
                <a:solidFill>
                  <a:srgbClr val="000000"/>
                </a:solidFill>
                <a:latin typeface="Calibri"/>
                <a:ea typeface="Calibri"/>
                <a:cs typeface="Calibri"/>
              </a:defRPr>
            </a:pPr>
            <a:endParaRPr lang="de-DE"/>
          </a:p>
        </c:txPr>
        <c:crossAx val="103371008"/>
        <c:crosses val="autoZero"/>
        <c:crossBetween val="midCat"/>
        <c:majorUnit val="15"/>
        <c:minorUnit val="5"/>
      </c:valAx>
    </c:plotArea>
    <c:legend>
      <c:legendPos val="r"/>
      <c:overlay val="0"/>
      <c:txPr>
        <a:bodyPr/>
        <a:lstStyle/>
        <a:p>
          <a:pPr>
            <a:defRPr sz="900" b="0" i="0" u="none" strike="noStrike">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2</xdr:col>
      <xdr:colOff>158118</xdr:colOff>
      <xdr:row>37</xdr:row>
      <xdr:rowOff>137302</xdr:rowOff>
    </xdr:from>
    <xdr:to>
      <xdr:col>12</xdr:col>
      <xdr:colOff>514113</xdr:colOff>
      <xdr:row>53</xdr:row>
      <xdr:rowOff>7517</xdr:rowOff>
    </xdr:to>
    <xdr:graphicFrame macro="">
      <xdr:nvGraphicFramePr>
        <xdr:cNvPr id="10" name="Diagramm 9">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205744</xdr:colOff>
      <xdr:row>55</xdr:row>
      <xdr:rowOff>82626</xdr:rowOff>
    </xdr:from>
    <xdr:to>
      <xdr:col>12</xdr:col>
      <xdr:colOff>593149</xdr:colOff>
      <xdr:row>70</xdr:row>
      <xdr:rowOff>57245</xdr:rowOff>
    </xdr:to>
    <xdr:graphicFrame macro="">
      <xdr:nvGraphicFramePr>
        <xdr:cNvPr id="11" name="Diagramm 10">
          <a:extLst>
            <a:ext uri="{FF2B5EF4-FFF2-40B4-BE49-F238E27FC236}">
              <a16:creationId xmlns:a16="http://schemas.microsoft.com/office/drawing/2014/main"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715024</xdr:colOff>
      <xdr:row>4</xdr:row>
      <xdr:rowOff>35249</xdr:rowOff>
    </xdr:from>
    <xdr:to>
      <xdr:col>12</xdr:col>
      <xdr:colOff>333067</xdr:colOff>
      <xdr:row>19</xdr:row>
      <xdr:rowOff>76863</xdr:rowOff>
    </xdr:to>
    <xdr:graphicFrame macro="">
      <xdr:nvGraphicFramePr>
        <xdr:cNvPr id="12" name="Diagramm 11">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108392</xdr:colOff>
      <xdr:row>20</xdr:row>
      <xdr:rowOff>135076</xdr:rowOff>
    </xdr:from>
    <xdr:to>
      <xdr:col>12</xdr:col>
      <xdr:colOff>499011</xdr:colOff>
      <xdr:row>35</xdr:row>
      <xdr:rowOff>175874</xdr:rowOff>
    </xdr:to>
    <xdr:graphicFrame macro="">
      <xdr:nvGraphicFramePr>
        <xdr:cNvPr id="13" name="Diagramm 7">
          <a:extLst>
            <a:ext uri="{FF2B5EF4-FFF2-40B4-BE49-F238E27FC236}">
              <a16:creationId xmlns:a16="http://schemas.microsoft.com/office/drawing/2014/main" id="{00000000-0008-0000-0A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282810</xdr:colOff>
      <xdr:row>37</xdr:row>
      <xdr:rowOff>137302</xdr:rowOff>
    </xdr:from>
    <xdr:to>
      <xdr:col>26</xdr:col>
      <xdr:colOff>638804</xdr:colOff>
      <xdr:row>53</xdr:row>
      <xdr:rowOff>7517</xdr:rowOff>
    </xdr:to>
    <xdr:graphicFrame macro="">
      <xdr:nvGraphicFramePr>
        <xdr:cNvPr id="18" name="Diagramm 17">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263761</xdr:colOff>
      <xdr:row>55</xdr:row>
      <xdr:rowOff>6426</xdr:rowOff>
    </xdr:from>
    <xdr:to>
      <xdr:col>26</xdr:col>
      <xdr:colOff>651165</xdr:colOff>
      <xdr:row>69</xdr:row>
      <xdr:rowOff>162020</xdr:rowOff>
    </xdr:to>
    <xdr:graphicFrame macro="">
      <xdr:nvGraphicFramePr>
        <xdr:cNvPr id="19" name="Diagramm 18">
          <a:extLst>
            <a:ext uri="{FF2B5EF4-FFF2-40B4-BE49-F238E27FC236}">
              <a16:creationId xmlns:a16="http://schemas.microsoft.com/office/drawing/2014/main" id="{00000000-0008-0000-0A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256959</xdr:colOff>
      <xdr:row>4</xdr:row>
      <xdr:rowOff>17931</xdr:rowOff>
    </xdr:from>
    <xdr:to>
      <xdr:col>26</xdr:col>
      <xdr:colOff>619683</xdr:colOff>
      <xdr:row>19</xdr:row>
      <xdr:rowOff>59545</xdr:rowOff>
    </xdr:to>
    <xdr:graphicFrame macro="">
      <xdr:nvGraphicFramePr>
        <xdr:cNvPr id="20" name="Diagramm 19">
          <a:extLst>
            <a:ext uri="{FF2B5EF4-FFF2-40B4-BE49-F238E27FC236}">
              <a16:creationId xmlns:a16="http://schemas.microsoft.com/office/drawing/2014/main" id="{00000000-0008-0000-0A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233084</xdr:colOff>
      <xdr:row>20</xdr:row>
      <xdr:rowOff>135076</xdr:rowOff>
    </xdr:from>
    <xdr:to>
      <xdr:col>26</xdr:col>
      <xdr:colOff>623702</xdr:colOff>
      <xdr:row>35</xdr:row>
      <xdr:rowOff>175874</xdr:rowOff>
    </xdr:to>
    <xdr:graphicFrame macro="">
      <xdr:nvGraphicFramePr>
        <xdr:cNvPr id="21" name="Diagramm 7">
          <a:extLst>
            <a:ext uri="{FF2B5EF4-FFF2-40B4-BE49-F238E27FC236}">
              <a16:creationId xmlns:a16="http://schemas.microsoft.com/office/drawing/2014/main" id="{00000000-0008-0000-0A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29</xdr:col>
      <xdr:colOff>191487</xdr:colOff>
      <xdr:row>38</xdr:row>
      <xdr:rowOff>102053</xdr:rowOff>
    </xdr:from>
    <xdr:to>
      <xdr:col>39</xdr:col>
      <xdr:colOff>411410</xdr:colOff>
      <xdr:row>53</xdr:row>
      <xdr:rowOff>149161</xdr:rowOff>
    </xdr:to>
    <xdr:graphicFrame macro="">
      <xdr:nvGraphicFramePr>
        <xdr:cNvPr id="14" name="Diagramm 13">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29</xdr:col>
      <xdr:colOff>239113</xdr:colOff>
      <xdr:row>56</xdr:row>
      <xdr:rowOff>47377</xdr:rowOff>
    </xdr:from>
    <xdr:to>
      <xdr:col>39</xdr:col>
      <xdr:colOff>490446</xdr:colOff>
      <xdr:row>71</xdr:row>
      <xdr:rowOff>21996</xdr:rowOff>
    </xdr:to>
    <xdr:graphicFrame macro="">
      <xdr:nvGraphicFramePr>
        <xdr:cNvPr id="15" name="Diagramm 14">
          <a:extLst>
            <a:ext uri="{FF2B5EF4-FFF2-40B4-BE49-F238E27FC236}">
              <a16:creationId xmlns:a16="http://schemas.microsoft.com/office/drawing/2014/main"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29</xdr:col>
      <xdr:colOff>0</xdr:colOff>
      <xdr:row>5</xdr:row>
      <xdr:rowOff>0</xdr:rowOff>
    </xdr:from>
    <xdr:to>
      <xdr:col>39</xdr:col>
      <xdr:colOff>230364</xdr:colOff>
      <xdr:row>20</xdr:row>
      <xdr:rowOff>41615</xdr:rowOff>
    </xdr:to>
    <xdr:graphicFrame macro="">
      <xdr:nvGraphicFramePr>
        <xdr:cNvPr id="16" name="Diagramm 15">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29</xdr:col>
      <xdr:colOff>141761</xdr:colOff>
      <xdr:row>21</xdr:row>
      <xdr:rowOff>99827</xdr:rowOff>
    </xdr:from>
    <xdr:to>
      <xdr:col>39</xdr:col>
      <xdr:colOff>396308</xdr:colOff>
      <xdr:row>36</xdr:row>
      <xdr:rowOff>140625</xdr:rowOff>
    </xdr:to>
    <xdr:graphicFrame macro="">
      <xdr:nvGraphicFramePr>
        <xdr:cNvPr id="17" name="Diagramm 7">
          <a:extLst>
            <a:ext uri="{FF2B5EF4-FFF2-40B4-BE49-F238E27FC236}">
              <a16:creationId xmlns:a16="http://schemas.microsoft.com/office/drawing/2014/main" id="{00000000-0008-0000-0A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559901</xdr:colOff>
      <xdr:row>55</xdr:row>
      <xdr:rowOff>137302</xdr:rowOff>
    </xdr:from>
    <xdr:to>
      <xdr:col>14</xdr:col>
      <xdr:colOff>246185</xdr:colOff>
      <xdr:row>71</xdr:row>
      <xdr:rowOff>7517</xdr:rowOff>
    </xdr:to>
    <xdr:graphicFrame macro="">
      <xdr:nvGraphicFramePr>
        <xdr:cNvPr id="2" name="Diagramm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540852</xdr:colOff>
      <xdr:row>73</xdr:row>
      <xdr:rowOff>6426</xdr:rowOff>
    </xdr:from>
    <xdr:to>
      <xdr:col>14</xdr:col>
      <xdr:colOff>152402</xdr:colOff>
      <xdr:row>87</xdr:row>
      <xdr:rowOff>162020</xdr:rowOff>
    </xdr:to>
    <xdr:graphicFrame macro="">
      <xdr:nvGraphicFramePr>
        <xdr:cNvPr id="3" name="Diagramm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501393</xdr:colOff>
      <xdr:row>4</xdr:row>
      <xdr:rowOff>50589</xdr:rowOff>
    </xdr:from>
    <xdr:to>
      <xdr:col>14</xdr:col>
      <xdr:colOff>88263</xdr:colOff>
      <xdr:row>19</xdr:row>
      <xdr:rowOff>92203</xdr:rowOff>
    </xdr:to>
    <xdr:graphicFrame macro="">
      <xdr:nvGraphicFramePr>
        <xdr:cNvPr id="4" name="Diagramm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510175</xdr:colOff>
      <xdr:row>38</xdr:row>
      <xdr:rowOff>135076</xdr:rowOff>
    </xdr:from>
    <xdr:to>
      <xdr:col>14</xdr:col>
      <xdr:colOff>124939</xdr:colOff>
      <xdr:row>53</xdr:row>
      <xdr:rowOff>175874</xdr:rowOff>
    </xdr:to>
    <xdr:graphicFrame macro="">
      <xdr:nvGraphicFramePr>
        <xdr:cNvPr id="5" name="Diagramm 7">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213538</xdr:colOff>
      <xdr:row>55</xdr:row>
      <xdr:rowOff>81884</xdr:rowOff>
    </xdr:from>
    <xdr:to>
      <xdr:col>31</xdr:col>
      <xdr:colOff>569532</xdr:colOff>
      <xdr:row>70</xdr:row>
      <xdr:rowOff>132208</xdr:rowOff>
    </xdr:to>
    <xdr:graphicFrame macro="">
      <xdr:nvGraphicFramePr>
        <xdr:cNvPr id="6" name="Diagramm 5">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194489</xdr:colOff>
      <xdr:row>72</xdr:row>
      <xdr:rowOff>131117</xdr:rowOff>
    </xdr:from>
    <xdr:to>
      <xdr:col>31</xdr:col>
      <xdr:colOff>581893</xdr:colOff>
      <xdr:row>87</xdr:row>
      <xdr:rowOff>106602</xdr:rowOff>
    </xdr:to>
    <xdr:graphicFrame macro="">
      <xdr:nvGraphicFramePr>
        <xdr:cNvPr id="7" name="Diagramm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21</xdr:col>
      <xdr:colOff>155031</xdr:colOff>
      <xdr:row>4</xdr:row>
      <xdr:rowOff>16941</xdr:rowOff>
    </xdr:from>
    <xdr:to>
      <xdr:col>31</xdr:col>
      <xdr:colOff>517755</xdr:colOff>
      <xdr:row>19</xdr:row>
      <xdr:rowOff>58555</xdr:rowOff>
    </xdr:to>
    <xdr:graphicFrame macro="">
      <xdr:nvGraphicFramePr>
        <xdr:cNvPr id="8" name="Diagramm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163812</xdr:colOff>
      <xdr:row>38</xdr:row>
      <xdr:rowOff>79658</xdr:rowOff>
    </xdr:from>
    <xdr:to>
      <xdr:col>31</xdr:col>
      <xdr:colOff>554430</xdr:colOff>
      <xdr:row>53</xdr:row>
      <xdr:rowOff>120456</xdr:rowOff>
    </xdr:to>
    <xdr:graphicFrame macro="">
      <xdr:nvGraphicFramePr>
        <xdr:cNvPr id="9" name="Diagramm 7">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21</xdr:col>
      <xdr:colOff>159328</xdr:colOff>
      <xdr:row>21</xdr:row>
      <xdr:rowOff>42554</xdr:rowOff>
    </xdr:from>
    <xdr:to>
      <xdr:col>31</xdr:col>
      <xdr:colOff>522052</xdr:colOff>
      <xdr:row>36</xdr:row>
      <xdr:rowOff>84168</xdr:rowOff>
    </xdr:to>
    <xdr:graphicFrame macro="">
      <xdr:nvGraphicFramePr>
        <xdr:cNvPr id="10" name="Diagramm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499755</xdr:colOff>
      <xdr:row>21</xdr:row>
      <xdr:rowOff>97972</xdr:rowOff>
    </xdr:from>
    <xdr:to>
      <xdr:col>14</xdr:col>
      <xdr:colOff>86625</xdr:colOff>
      <xdr:row>36</xdr:row>
      <xdr:rowOff>139586</xdr:rowOff>
    </xdr:to>
    <xdr:graphicFrame macro="">
      <xdr:nvGraphicFramePr>
        <xdr:cNvPr id="11" name="Diagramm 10">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C41"/>
  <sheetViews>
    <sheetView showGridLines="0" tabSelected="1" zoomScale="69" zoomScaleNormal="100" workbookViewId="0">
      <selection activeCell="B23" sqref="B23"/>
    </sheetView>
  </sheetViews>
  <sheetFormatPr baseColWidth="10" defaultColWidth="11.42578125" defaultRowHeight="12.75"/>
  <cols>
    <col min="1" max="1" width="43" customWidth="1"/>
    <col min="2" max="2" width="44.42578125" customWidth="1"/>
    <col min="3" max="3" width="0" hidden="1" customWidth="1"/>
  </cols>
  <sheetData>
    <row r="1" spans="1:2" ht="39.200000000000003" customHeight="1">
      <c r="A1" s="737" t="s">
        <v>454</v>
      </c>
      <c r="B1" s="737"/>
    </row>
    <row r="2" spans="1:2" ht="15.75" customHeight="1">
      <c r="A2" s="737"/>
      <c r="B2" s="737"/>
    </row>
    <row r="3" spans="1:2">
      <c r="A3" s="737"/>
      <c r="B3" s="737"/>
    </row>
    <row r="4" spans="1:2">
      <c r="A4" s="737"/>
      <c r="B4" s="737"/>
    </row>
    <row r="5" spans="1:2">
      <c r="A5" s="737"/>
      <c r="B5" s="737"/>
    </row>
    <row r="6" spans="1:2">
      <c r="A6" s="737"/>
      <c r="B6" s="737"/>
    </row>
    <row r="7" spans="1:2">
      <c r="A7" s="77"/>
      <c r="B7" s="77"/>
    </row>
    <row r="8" spans="1:2">
      <c r="A8" s="77"/>
      <c r="B8" s="77"/>
    </row>
    <row r="9" spans="1:2" ht="7.5" customHeight="1" thickBot="1">
      <c r="A9" s="77"/>
      <c r="B9" s="77"/>
    </row>
    <row r="10" spans="1:2" ht="21" thickBot="1">
      <c r="A10" s="735" t="s">
        <v>201</v>
      </c>
      <c r="B10" s="735"/>
    </row>
    <row r="11" spans="1:2" ht="5.25" customHeight="1">
      <c r="A11" s="77"/>
      <c r="B11" s="77"/>
    </row>
    <row r="12" spans="1:2" ht="20.100000000000001" customHeight="1">
      <c r="A12" s="74" t="s">
        <v>202</v>
      </c>
      <c r="B12" s="192"/>
    </row>
    <row r="13" spans="1:2" ht="20.100000000000001" customHeight="1">
      <c r="A13" s="74" t="s">
        <v>304</v>
      </c>
      <c r="B13" s="5"/>
    </row>
    <row r="14" spans="1:2" ht="20.100000000000001" customHeight="1">
      <c r="A14" s="74" t="s">
        <v>56</v>
      </c>
      <c r="B14" s="5"/>
    </row>
    <row r="15" spans="1:2" ht="20.100000000000001" customHeight="1">
      <c r="A15" s="74" t="s">
        <v>224</v>
      </c>
      <c r="B15" s="5"/>
    </row>
    <row r="16" spans="1:2" ht="20.100000000000001" customHeight="1">
      <c r="A16" s="74" t="s">
        <v>239</v>
      </c>
      <c r="B16" s="6"/>
    </row>
    <row r="17" spans="1:3" ht="20.100000000000001" customHeight="1">
      <c r="A17" s="74" t="s">
        <v>203</v>
      </c>
      <c r="B17" s="6"/>
    </row>
    <row r="18" spans="1:3" ht="18.75" customHeight="1">
      <c r="A18" s="75" t="s">
        <v>204</v>
      </c>
      <c r="B18" s="65">
        <f>Punktevergabe!F8</f>
        <v>0</v>
      </c>
      <c r="C18">
        <v>-30</v>
      </c>
    </row>
    <row r="19" spans="1:3" ht="9.75" customHeight="1" thickBot="1">
      <c r="A19" s="77"/>
      <c r="B19" s="77"/>
      <c r="C19">
        <v>-50</v>
      </c>
    </row>
    <row r="20" spans="1:3" ht="21" thickBot="1">
      <c r="A20" s="736" t="s">
        <v>257</v>
      </c>
      <c r="B20" s="736"/>
      <c r="C20">
        <v>-60</v>
      </c>
    </row>
    <row r="21" spans="1:3" ht="8.4499999999999993" customHeight="1">
      <c r="A21" s="77"/>
      <c r="B21" s="77"/>
      <c r="C21">
        <v>-70</v>
      </c>
    </row>
    <row r="22" spans="1:3" ht="30.2" customHeight="1">
      <c r="A22" s="76" t="s">
        <v>258</v>
      </c>
      <c r="B22" s="5"/>
    </row>
    <row r="23" spans="1:3" ht="20.100000000000001" customHeight="1">
      <c r="A23" s="76" t="s">
        <v>309</v>
      </c>
      <c r="B23" s="5"/>
    </row>
    <row r="24" spans="1:3" ht="20.100000000000001" customHeight="1">
      <c r="A24" s="76" t="s">
        <v>226</v>
      </c>
      <c r="B24" s="6"/>
    </row>
    <row r="25" spans="1:3" ht="8.4499999999999993" customHeight="1">
      <c r="A25" s="77"/>
      <c r="B25" s="77"/>
    </row>
    <row r="26" spans="1:3">
      <c r="A26" s="77"/>
      <c r="B26" s="77"/>
    </row>
    <row r="27" spans="1:3">
      <c r="A27" s="738" t="s">
        <v>392</v>
      </c>
      <c r="B27" s="739"/>
    </row>
    <row r="28" spans="1:3">
      <c r="A28" s="740"/>
      <c r="B28" s="741"/>
    </row>
    <row r="29" spans="1:3">
      <c r="A29" s="740"/>
      <c r="B29" s="741"/>
    </row>
    <row r="30" spans="1:3">
      <c r="A30" s="740"/>
      <c r="B30" s="741"/>
    </row>
    <row r="31" spans="1:3">
      <c r="A31" s="740"/>
      <c r="B31" s="741"/>
    </row>
    <row r="32" spans="1:3">
      <c r="A32" s="740"/>
      <c r="B32" s="741"/>
    </row>
    <row r="33" spans="1:2">
      <c r="A33" s="740"/>
      <c r="B33" s="741"/>
    </row>
    <row r="34" spans="1:2">
      <c r="A34" s="740"/>
      <c r="B34" s="741"/>
    </row>
    <row r="35" spans="1:2">
      <c r="A35" s="740"/>
      <c r="B35" s="741"/>
    </row>
    <row r="36" spans="1:2">
      <c r="A36" s="742"/>
      <c r="B36" s="743"/>
    </row>
    <row r="37" spans="1:2">
      <c r="A37" s="77"/>
      <c r="B37" s="77"/>
    </row>
    <row r="38" spans="1:2" ht="10.5" customHeight="1">
      <c r="A38" s="77"/>
      <c r="B38" s="77"/>
    </row>
    <row r="39" spans="1:2" ht="21.2" customHeight="1">
      <c r="A39" s="74" t="s">
        <v>205</v>
      </c>
      <c r="B39" s="6"/>
    </row>
    <row r="40" spans="1:2" ht="69" customHeight="1">
      <c r="A40" s="74" t="s">
        <v>206</v>
      </c>
      <c r="B40" s="5"/>
    </row>
    <row r="41" spans="1:2">
      <c r="A41" s="77"/>
      <c r="B41" s="77"/>
    </row>
  </sheetData>
  <sheetProtection selectLockedCells="1"/>
  <mergeCells count="4">
    <mergeCell ref="A10:B10"/>
    <mergeCell ref="A20:B20"/>
    <mergeCell ref="A1:B6"/>
    <mergeCell ref="A27:B36"/>
  </mergeCells>
  <printOptions horizontalCentered="1"/>
  <pageMargins left="0.59055118110236227" right="0.59055118110236227" top="0.59055118110236227" bottom="0.59055118110236227" header="0.31496062992125984" footer="0.31496062992125984"/>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pageSetUpPr fitToPage="1"/>
  </sheetPr>
  <dimension ref="A1:F15"/>
  <sheetViews>
    <sheetView showGridLines="0" zoomScaleNormal="100" workbookViewId="0">
      <selection activeCell="B14" sqref="B14"/>
    </sheetView>
  </sheetViews>
  <sheetFormatPr baseColWidth="10" defaultColWidth="11.42578125" defaultRowHeight="12.75"/>
  <cols>
    <col min="1" max="1" width="37.42578125" style="78" customWidth="1"/>
    <col min="2" max="2" width="81.7109375" style="78" customWidth="1"/>
    <col min="3" max="3" width="11.7109375" style="78" customWidth="1"/>
    <col min="4" max="4" width="14.28515625" style="83" customWidth="1"/>
    <col min="5" max="5" width="14.7109375" style="78" hidden="1" customWidth="1"/>
    <col min="6" max="6" width="30.7109375" style="83" customWidth="1"/>
    <col min="7" max="8" width="11.42578125" style="78" customWidth="1"/>
    <col min="9" max="16384" width="11.42578125" style="78"/>
  </cols>
  <sheetData>
    <row r="1" spans="1:6" ht="24.75" customHeight="1">
      <c r="A1" s="820" t="s">
        <v>470</v>
      </c>
      <c r="B1" s="820"/>
      <c r="C1" s="820"/>
      <c r="D1" s="820"/>
    </row>
    <row r="2" spans="1:6" ht="7.5" customHeight="1" thickBot="1">
      <c r="A2" s="79"/>
      <c r="B2" s="79"/>
      <c r="C2" s="79"/>
      <c r="D2" s="80"/>
    </row>
    <row r="3" spans="1:6" s="81" customFormat="1" ht="50.25" customHeight="1" thickBot="1">
      <c r="A3" s="578" t="s">
        <v>18</v>
      </c>
      <c r="B3" s="579" t="s">
        <v>16</v>
      </c>
      <c r="C3" s="580" t="s">
        <v>359</v>
      </c>
      <c r="D3" s="635" t="s">
        <v>20</v>
      </c>
      <c r="F3" s="440" t="s">
        <v>225</v>
      </c>
    </row>
    <row r="4" spans="1:6" ht="44.45" customHeight="1">
      <c r="A4" s="253" t="s">
        <v>603</v>
      </c>
      <c r="B4" s="207" t="s">
        <v>398</v>
      </c>
      <c r="C4" s="324">
        <v>5</v>
      </c>
      <c r="D4" s="637"/>
      <c r="E4" s="232">
        <v>0</v>
      </c>
      <c r="F4" s="461"/>
    </row>
    <row r="5" spans="1:6" ht="45.75" customHeight="1" thickBot="1">
      <c r="A5" s="645" t="s">
        <v>604</v>
      </c>
      <c r="B5" s="646" t="s">
        <v>391</v>
      </c>
      <c r="C5" s="324">
        <v>7</v>
      </c>
      <c r="D5" s="540"/>
      <c r="E5" s="78">
        <v>5</v>
      </c>
      <c r="F5" s="460"/>
    </row>
    <row r="6" spans="1:6" ht="24.95" customHeight="1" thickBot="1">
      <c r="A6" s="924" t="s">
        <v>19</v>
      </c>
      <c r="B6" s="925"/>
      <c r="C6" s="528"/>
      <c r="D6" s="536">
        <f>IF(SUM(D4:D5)&gt;10,10,SUM(D4:D5))</f>
        <v>0</v>
      </c>
      <c r="E6" s="232">
        <v>0</v>
      </c>
      <c r="F6" s="441"/>
    </row>
    <row r="7" spans="1:6" ht="24.95" customHeight="1">
      <c r="A7" s="926"/>
      <c r="B7" s="926"/>
      <c r="C7" s="261"/>
      <c r="E7" s="78">
        <v>7</v>
      </c>
    </row>
    <row r="8" spans="1:6" ht="70.5" customHeight="1">
      <c r="A8" s="947" t="s">
        <v>406</v>
      </c>
      <c r="B8" s="928"/>
      <c r="C8"/>
    </row>
    <row r="9" spans="1:6" ht="38.25" customHeight="1">
      <c r="A9" s="495" t="s">
        <v>407</v>
      </c>
      <c r="B9" s="509"/>
      <c r="E9" s="306" t="s">
        <v>602</v>
      </c>
    </row>
    <row r="10" spans="1:6" ht="24.95" customHeight="1">
      <c r="A10" s="495" t="s">
        <v>408</v>
      </c>
      <c r="B10" s="510"/>
      <c r="E10" s="306" t="s">
        <v>414</v>
      </c>
    </row>
    <row r="11" spans="1:6" s="82" customFormat="1" ht="32.25" customHeight="1">
      <c r="A11" s="495" t="s">
        <v>409</v>
      </c>
      <c r="B11" s="510"/>
      <c r="C11" s="78"/>
      <c r="D11" s="83"/>
      <c r="F11" s="83"/>
    </row>
    <row r="12" spans="1:6" ht="14.25" customHeight="1">
      <c r="A12" s="495" t="s">
        <v>410</v>
      </c>
      <c r="B12" s="510"/>
      <c r="E12" s="306">
        <v>5</v>
      </c>
    </row>
    <row r="13" spans="1:6">
      <c r="A13" s="495" t="s">
        <v>411</v>
      </c>
      <c r="B13" s="510"/>
      <c r="E13" s="306">
        <v>7</v>
      </c>
    </row>
    <row r="14" spans="1:6">
      <c r="A14" s="495" t="s">
        <v>412</v>
      </c>
      <c r="B14" s="510"/>
    </row>
    <row r="15" spans="1:6">
      <c r="A15" s="495" t="s">
        <v>413</v>
      </c>
      <c r="B15" s="496">
        <f>IF(B9="Bewässerung/WCs",(B10*2*(B11*30+B12*10)+B13*40),B14*40)</f>
        <v>0</v>
      </c>
    </row>
  </sheetData>
  <sheetProtection algorithmName="SHA-512" hashValue="NZ+N8h5WLr1hy45/6BliyjUO1lASUumhqIi50p/sVPVsii4OEuu/XxMs6BNx0KYR9hWM0wrtS3OhsKtbI/X/CQ==" saltValue="iQQ3yqYJVZIaIsNI9+8qgw==" spinCount="100000" sheet="1" selectLockedCells="1"/>
  <mergeCells count="4">
    <mergeCell ref="A1:D1"/>
    <mergeCell ref="A6:B6"/>
    <mergeCell ref="A7:B7"/>
    <mergeCell ref="A8:B8"/>
  </mergeCells>
  <dataValidations count="4">
    <dataValidation type="list" allowBlank="1" showInputMessage="1" showErrorMessage="1" errorTitle="Falscher Wert!" error="Bitte geben Sie die Zahl 0 oder 1 ein." sqref="D5" xr:uid="{00000000-0002-0000-0900-000000000000}">
      <formula1>$E$6:$E$7</formula1>
    </dataValidation>
    <dataValidation type="list" allowBlank="1" showInputMessage="1" showErrorMessage="1" errorTitle="Falscher Wert!" error="Bitte geben Sie die Zahl 0 oder 1 ein." sqref="D4" xr:uid="{00000000-0002-0000-0900-000001000000}">
      <formula1>$E$4:$E$5</formula1>
    </dataValidation>
    <dataValidation type="list" allowBlank="1" showInputMessage="1" showErrorMessage="1" sqref="B10" xr:uid="{00000000-0002-0000-0900-000002000000}">
      <formula1>$E$12:$E$13</formula1>
    </dataValidation>
    <dataValidation type="list" allowBlank="1" showInputMessage="1" showErrorMessage="1" sqref="B9" xr:uid="{00000000-0002-0000-0900-000003000000}">
      <formula1>$E$9:$E$10</formula1>
    </dataValidation>
  </dataValidations>
  <printOptions horizontalCentered="1"/>
  <pageMargins left="0.59055118110236227" right="0.59055118110236227" top="0.59055118110236227" bottom="0.59055118110236227" header="0.31496062992125984" footer="0.31496062992125984"/>
  <pageSetup paperSize="9" scale="7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N30"/>
  <sheetViews>
    <sheetView showGridLines="0" zoomScale="85" zoomScaleNormal="85" workbookViewId="0">
      <selection activeCell="D4" sqref="D4"/>
    </sheetView>
  </sheetViews>
  <sheetFormatPr baseColWidth="10" defaultColWidth="11.42578125" defaultRowHeight="14.25"/>
  <cols>
    <col min="1" max="1" width="38.7109375" style="1" customWidth="1"/>
    <col min="2" max="2" width="42.7109375" style="1" bestFit="1" customWidth="1"/>
    <col min="3" max="3" width="13.5703125" style="1" customWidth="1"/>
    <col min="4" max="4" width="30.7109375" style="445" customWidth="1"/>
    <col min="5" max="5" width="6.28515625" style="1" customWidth="1"/>
    <col min="6" max="6" width="21.85546875" style="1" hidden="1" customWidth="1"/>
    <col min="7" max="7" width="33.140625" style="1" hidden="1" customWidth="1"/>
    <col min="8" max="8" width="26.5703125" style="1" hidden="1" customWidth="1"/>
    <col min="9" max="9" width="19.140625" style="445" hidden="1" customWidth="1"/>
    <col min="10" max="10" width="25.28515625" style="1" hidden="1" customWidth="1"/>
    <col min="11" max="11" width="21.28515625" style="1" hidden="1" customWidth="1"/>
    <col min="12" max="12" width="22.5703125" style="1" hidden="1" customWidth="1"/>
    <col min="13" max="13" width="30.5703125" style="1" hidden="1" customWidth="1"/>
    <col min="14" max="14" width="19.42578125" style="445" hidden="1" customWidth="1"/>
    <col min="15" max="19" width="11.42578125" style="1" customWidth="1"/>
    <col min="20" max="16384" width="11.42578125" style="1"/>
  </cols>
  <sheetData>
    <row r="1" spans="1:14" ht="24.95" customHeight="1" thickBot="1">
      <c r="A1" s="820" t="s">
        <v>450</v>
      </c>
      <c r="B1" s="820"/>
      <c r="C1" s="820"/>
      <c r="F1" s="954" t="s">
        <v>285</v>
      </c>
      <c r="G1" s="955"/>
      <c r="H1" s="956"/>
      <c r="K1" s="954" t="s">
        <v>286</v>
      </c>
      <c r="L1" s="957"/>
      <c r="M1" s="958"/>
    </row>
    <row r="2" spans="1:14" ht="7.5" customHeight="1" thickBot="1">
      <c r="A2" s="225"/>
      <c r="B2" s="225"/>
      <c r="C2" s="225"/>
    </row>
    <row r="3" spans="1:14" s="87" customFormat="1" ht="24.95" customHeight="1">
      <c r="A3" s="959" t="str">
        <f>IF(ISTEXT(Punktevergabe!E5),CONCATENATE("Eingabefeld PHPP ", (Punktevergabe!E5),""))</f>
        <v>Eingabefeld PHPP Neubau</v>
      </c>
      <c r="B3" s="960"/>
      <c r="C3" s="961"/>
      <c r="D3" s="448" t="s">
        <v>225</v>
      </c>
      <c r="F3" s="948" t="s">
        <v>281</v>
      </c>
      <c r="G3" s="949"/>
      <c r="H3" s="950"/>
      <c r="I3" s="443" t="s">
        <v>225</v>
      </c>
      <c r="K3" s="948" t="s">
        <v>283</v>
      </c>
      <c r="L3" s="949"/>
      <c r="M3" s="950"/>
      <c r="N3" s="443" t="s">
        <v>225</v>
      </c>
    </row>
    <row r="4" spans="1:14" s="87" customFormat="1" ht="24.95" customHeight="1">
      <c r="A4" s="212" t="s">
        <v>276</v>
      </c>
      <c r="B4" s="337"/>
      <c r="C4" s="290" t="s">
        <v>45</v>
      </c>
      <c r="D4" s="724"/>
      <c r="F4" s="212" t="s">
        <v>276</v>
      </c>
      <c r="G4" s="335" t="str">
        <f t="shared" ref="G4:G8" si="0">IF(AND(ISNUMBER(B4)),B4,"")</f>
        <v/>
      </c>
      <c r="H4" s="290" t="s">
        <v>45</v>
      </c>
      <c r="I4" s="443"/>
      <c r="K4" s="212" t="s">
        <v>276</v>
      </c>
      <c r="L4" s="335" t="str">
        <f t="shared" ref="L4:L8" si="1">IF(AND(ISNUMBER(B4)),B4,"")</f>
        <v/>
      </c>
      <c r="M4" s="290" t="s">
        <v>45</v>
      </c>
      <c r="N4" s="443"/>
    </row>
    <row r="5" spans="1:14" s="89" customFormat="1" ht="24.95" customHeight="1">
      <c r="A5" s="212" t="s">
        <v>192</v>
      </c>
      <c r="B5" s="337"/>
      <c r="C5" s="290" t="s">
        <v>193</v>
      </c>
      <c r="D5" s="725"/>
      <c r="F5" s="212" t="s">
        <v>192</v>
      </c>
      <c r="G5" s="335" t="str">
        <f t="shared" si="0"/>
        <v/>
      </c>
      <c r="H5" s="290" t="s">
        <v>193</v>
      </c>
      <c r="I5" s="442"/>
      <c r="K5" s="212" t="s">
        <v>192</v>
      </c>
      <c r="L5" s="335" t="str">
        <f t="shared" si="1"/>
        <v/>
      </c>
      <c r="M5" s="290" t="s">
        <v>193</v>
      </c>
      <c r="N5" s="442"/>
    </row>
    <row r="6" spans="1:14" s="89" customFormat="1" ht="24.95" customHeight="1">
      <c r="A6" s="212" t="s">
        <v>302</v>
      </c>
      <c r="B6" s="337"/>
      <c r="C6" s="290" t="s">
        <v>193</v>
      </c>
      <c r="D6" s="725"/>
      <c r="F6" s="336" t="s">
        <v>259</v>
      </c>
      <c r="G6" s="335" t="str">
        <f t="shared" si="0"/>
        <v/>
      </c>
      <c r="H6" s="290" t="s">
        <v>193</v>
      </c>
      <c r="I6" s="442" t="s">
        <v>275</v>
      </c>
      <c r="K6" s="336" t="s">
        <v>259</v>
      </c>
      <c r="L6" s="335" t="str">
        <f t="shared" si="1"/>
        <v/>
      </c>
      <c r="M6" s="290" t="s">
        <v>193</v>
      </c>
      <c r="N6" s="442" t="s">
        <v>275</v>
      </c>
    </row>
    <row r="7" spans="1:14" s="89" customFormat="1" ht="24.95" customHeight="1">
      <c r="A7" s="212" t="s">
        <v>549</v>
      </c>
      <c r="B7" s="337"/>
      <c r="C7" s="290" t="s">
        <v>193</v>
      </c>
      <c r="D7" s="725"/>
      <c r="F7" s="212" t="s">
        <v>17</v>
      </c>
      <c r="G7" s="335" t="str">
        <f t="shared" si="0"/>
        <v/>
      </c>
      <c r="H7" s="290" t="s">
        <v>193</v>
      </c>
      <c r="I7" s="442"/>
      <c r="K7" s="212" t="s">
        <v>17</v>
      </c>
      <c r="L7" s="335" t="str">
        <f t="shared" si="1"/>
        <v/>
      </c>
      <c r="M7" s="290" t="s">
        <v>193</v>
      </c>
      <c r="N7" s="442"/>
    </row>
    <row r="8" spans="1:14" s="89" customFormat="1" ht="24.95" customHeight="1">
      <c r="A8" s="212" t="s">
        <v>605</v>
      </c>
      <c r="B8" s="338"/>
      <c r="C8" s="348" t="s">
        <v>608</v>
      </c>
      <c r="D8" s="725"/>
      <c r="F8" s="212" t="s">
        <v>46</v>
      </c>
      <c r="G8" s="335" t="str">
        <f t="shared" si="0"/>
        <v/>
      </c>
      <c r="H8" s="132" t="s">
        <v>194</v>
      </c>
      <c r="I8" s="442"/>
      <c r="K8" s="212" t="s">
        <v>46</v>
      </c>
      <c r="L8" s="335" t="str">
        <f t="shared" si="1"/>
        <v/>
      </c>
      <c r="M8" s="132" t="s">
        <v>194</v>
      </c>
      <c r="N8" s="442"/>
    </row>
    <row r="9" spans="1:14" s="89" customFormat="1" ht="30.6" customHeight="1" thickBot="1">
      <c r="A9" s="211" t="s">
        <v>606</v>
      </c>
      <c r="B9" s="730"/>
      <c r="C9" s="294" t="s">
        <v>198</v>
      </c>
      <c r="D9" s="462"/>
      <c r="F9" s="292" t="s">
        <v>277</v>
      </c>
      <c r="G9" s="335">
        <f>IF(AND(ISNUMBER(B9)),B9,0)</f>
        <v>0</v>
      </c>
      <c r="H9" s="132" t="s">
        <v>198</v>
      </c>
      <c r="I9" s="446"/>
      <c r="K9" s="292" t="s">
        <v>277</v>
      </c>
      <c r="L9" s="335">
        <f>IF(AND(ISNUMBER(B9)),B9,0)</f>
        <v>0</v>
      </c>
      <c r="M9" s="132" t="s">
        <v>198</v>
      </c>
      <c r="N9" s="446"/>
    </row>
    <row r="10" spans="1:14">
      <c r="A10" s="90"/>
      <c r="E10" s="134"/>
      <c r="F10" s="90"/>
      <c r="H10" s="91"/>
      <c r="I10" s="447"/>
      <c r="K10" s="90"/>
      <c r="M10" s="91"/>
      <c r="N10" s="447"/>
    </row>
    <row r="11" spans="1:14" ht="15" thickBot="1">
      <c r="A11" s="90"/>
      <c r="E11" s="134"/>
      <c r="F11" s="90"/>
      <c r="H11" s="91"/>
      <c r="K11" s="90"/>
      <c r="M11" s="91"/>
    </row>
    <row r="12" spans="1:14" ht="24.95" customHeight="1">
      <c r="A12" s="962" t="s">
        <v>195</v>
      </c>
      <c r="B12" s="952"/>
      <c r="C12" s="953"/>
      <c r="F12" s="951" t="s">
        <v>282</v>
      </c>
      <c r="G12" s="952"/>
      <c r="H12" s="953"/>
      <c r="K12" s="951" t="s">
        <v>284</v>
      </c>
      <c r="L12" s="952"/>
      <c r="M12" s="953"/>
    </row>
    <row r="13" spans="1:14" s="89" customFormat="1" ht="24.95" customHeight="1">
      <c r="A13" s="212" t="s">
        <v>370</v>
      </c>
      <c r="B13" s="728" t="str">
        <f>IF(AND(ISTEXT(Punktevergabe!E5),(Punktevergabe!E5="Neubau")),IF(G13&gt;0,G13,0),IF(L13&gt;0,L13,0))</f>
        <v/>
      </c>
      <c r="C13" s="291" t="s">
        <v>235</v>
      </c>
      <c r="D13" s="444"/>
      <c r="E13" s="1"/>
      <c r="F13" s="96" t="s">
        <v>17</v>
      </c>
      <c r="G13" s="274" t="str">
        <f>IF(AND(ISNUMBER(G7),ISNUMBER(G4),ISNUMBER(G9)),(G7-(G9/G4)*1),"")</f>
        <v/>
      </c>
      <c r="H13" s="24" t="s">
        <v>235</v>
      </c>
      <c r="I13" s="444"/>
      <c r="K13" s="96" t="s">
        <v>17</v>
      </c>
      <c r="L13" s="274" t="str">
        <f>IF(AND(ISNUMBER(L7),ISNUMBER(L4),ISNUMBER(L9)),(L7-(L9/L4)*1),"")</f>
        <v/>
      </c>
      <c r="M13" s="24" t="s">
        <v>235</v>
      </c>
      <c r="N13" s="444"/>
    </row>
    <row r="14" spans="1:14" s="89" customFormat="1" ht="24.95" customHeight="1" thickBot="1">
      <c r="A14" s="211" t="s">
        <v>371</v>
      </c>
      <c r="B14" s="729" t="str">
        <f>IF(AND(ISTEXT(Punktevergabe!E6),(Punktevergabe!E6="Neubau")),IF(G14&gt;0,G14,0),IF(L14&gt;0,L14,0))</f>
        <v/>
      </c>
      <c r="C14" s="294" t="s">
        <v>608</v>
      </c>
      <c r="D14" s="444"/>
      <c r="F14" s="96" t="s">
        <v>46</v>
      </c>
      <c r="G14" s="274" t="str">
        <f>IF(AND(ISNUMBER(G8),ISNUMBER(G4),ISNUMBER(G9)),(G8-(G9/G4)*0.532),"")</f>
        <v/>
      </c>
      <c r="H14" s="88" t="s">
        <v>236</v>
      </c>
      <c r="I14" s="444"/>
      <c r="K14" s="96" t="s">
        <v>46</v>
      </c>
      <c r="L14" s="274" t="str">
        <f>IF(AND(ISNUMBER(L8),ISNUMBER(L4),ISNUMBER(L9)),(L8-(L9/L4)*0.532),"")</f>
        <v/>
      </c>
      <c r="M14" s="88" t="s">
        <v>236</v>
      </c>
      <c r="N14" s="444"/>
    </row>
    <row r="15" spans="1:14" s="89" customFormat="1" ht="24.95" customHeight="1" thickBot="1">
      <c r="A15" s="726" t="s">
        <v>196</v>
      </c>
      <c r="B15" s="727" t="str">
        <f>IF(AND(ISTEXT(Punktevergabe!E5),(Punktevergabe!E5="Neubau")),'B.1 '!G15,L15)</f>
        <v/>
      </c>
      <c r="D15" s="444"/>
      <c r="F15" s="122" t="s">
        <v>196</v>
      </c>
      <c r="G15" s="123" t="str">
        <f>IF(ISNUMBER(G5),IF(G5&lt;=G24,H24,IF(AND(G5&lt;=G23,G5&gt;G24),ROUND(H24+(H23-H24)/(G23-G24)*(G5-G24),H23),"Mindestanforderung nicht erfüllt")),"")</f>
        <v/>
      </c>
      <c r="H15" s="93"/>
      <c r="I15" s="444"/>
      <c r="K15" s="122" t="s">
        <v>196</v>
      </c>
      <c r="L15" s="123" t="str">
        <f>IF(ISNUMBER(L5),IF(L5&lt;=L24,M24,IF(AND(L5&lt;=L23,L5&gt;L24),ROUND(M24+(M23-M24)/(L23-L24)*(L5-L24),M23),"Mindestanforderung nicht erfüllt")),"")</f>
        <v/>
      </c>
      <c r="M15" s="93"/>
      <c r="N15" s="444"/>
    </row>
    <row r="16" spans="1:14" s="89" customFormat="1" ht="24.75" customHeight="1" thickBot="1">
      <c r="A16" s="3" t="s">
        <v>260</v>
      </c>
      <c r="B16" s="213" t="str">
        <f>IF(AND(ISTEXT(Punktevergabe!E5),(Punktevergabe!E5="Neubau")),'B.1 '!G16,L16)</f>
        <v/>
      </c>
      <c r="D16" s="444"/>
      <c r="F16" s="122" t="s">
        <v>260</v>
      </c>
      <c r="G16" s="123" t="str">
        <f>IF(ISNUMBER(G6),IF(G6&lt;=G26,H26,IF(AND(G6&lt;=G25,G6&gt;G26),ROUND(H26+(H25-H26)/(G25-G26)*(G6-G26),H25),"Mindestanforderung nicht erfüllt")),"")</f>
        <v/>
      </c>
      <c r="H16" s="93"/>
      <c r="I16" s="444"/>
      <c r="K16" s="122" t="s">
        <v>260</v>
      </c>
      <c r="L16" s="123" t="str">
        <f>IF(ISNUMBER(L6),IF(L6&lt;=L26,M26,IF(AND(L6&lt;=L25,L6&gt;L26),ROUND(M26+(M25-M26)/(L25-L26)*(L6-L26),M25),"Mindestanforderung nicht erfüllt")),"")</f>
        <v/>
      </c>
      <c r="M16" s="93"/>
      <c r="N16" s="444"/>
    </row>
    <row r="17" spans="1:14" ht="24.75" customHeight="1" thickBot="1">
      <c r="A17" s="214" t="s">
        <v>197</v>
      </c>
      <c r="B17" s="135" t="str">
        <f>IF(AND(ISTEXT(Punktevergabe!E5),(Punktevergabe!E5="Neubau")),'B.1 '!G17,L17)</f>
        <v/>
      </c>
      <c r="C17" s="89"/>
      <c r="D17" s="444"/>
      <c r="E17" s="89"/>
      <c r="F17" s="122" t="s">
        <v>197</v>
      </c>
      <c r="G17" s="135" t="str">
        <f>IF(ISNUMBER(G13),IF(G13&lt;=G28,H28,IF(AND(G13&lt;=G27,G13&gt;G28),ROUND(H28+(H27-H28)/(G27-G28)*(G13-G28),H27),"Mindestanforderung nicht erfüllt")),"")</f>
        <v/>
      </c>
      <c r="H17" s="93"/>
      <c r="I17" s="444"/>
      <c r="K17" s="122" t="s">
        <v>197</v>
      </c>
      <c r="L17" s="135" t="str">
        <f>IF(ISNUMBER(L13),IF(L13&lt;=L28,M28,IF(AND(L13&lt;=L27,L13&gt;L28),ROUND(M28+(M27-M28)/(L27-L28)*(L13-L28),M27),"Mindestanforderung nicht erfüllt")),"")</f>
        <v/>
      </c>
      <c r="M17" s="93"/>
      <c r="N17" s="444"/>
    </row>
    <row r="18" spans="1:14" ht="24.75" customHeight="1" thickBot="1">
      <c r="A18" s="3" t="s">
        <v>607</v>
      </c>
      <c r="B18" s="213" t="str">
        <f>IF(AND(ISTEXT(Punktevergabe!E5),(Punktevergabe!E5="Neubau")),'B.1 '!G18,L18)</f>
        <v/>
      </c>
      <c r="C18" s="89"/>
      <c r="F18" s="122" t="s">
        <v>46</v>
      </c>
      <c r="G18" s="135" t="str">
        <f>IF(ISNUMBER(G14),IF(G14&lt;=G30,H30,IF(AND(G14&lt;=G29,G14&gt;G30),ROUND(H30+(H29-H30)/(G29-G30)*(G14-G30),H29),"Mindestanforderung nicht erfüllt")),"")</f>
        <v/>
      </c>
      <c r="H18" s="94"/>
      <c r="K18" s="122" t="s">
        <v>46</v>
      </c>
      <c r="L18" s="135" t="str">
        <f>IF(ISNUMBER(L14),IF(L14&lt;=L30,M30,IF(AND(L14&lt;=L29,L14&gt;L30),ROUND(M30+(M29-M30)/(L29-L30)*(L14-L30),M29),"Mindestanforderung nicht erfüllt")),"")</f>
        <v/>
      </c>
      <c r="M18" s="94"/>
    </row>
    <row r="19" spans="1:14">
      <c r="A19" s="95"/>
      <c r="B19" s="95"/>
    </row>
    <row r="21" spans="1:14" ht="15" thickBot="1"/>
    <row r="22" spans="1:14">
      <c r="F22" s="265"/>
      <c r="G22" s="266" t="s">
        <v>333</v>
      </c>
      <c r="H22" s="267" t="s">
        <v>3</v>
      </c>
      <c r="K22" s="265"/>
      <c r="L22" s="266" t="s">
        <v>333</v>
      </c>
      <c r="M22" s="267" t="s">
        <v>3</v>
      </c>
    </row>
    <row r="23" spans="1:14" ht="15.75">
      <c r="F23" s="268" t="s">
        <v>336</v>
      </c>
      <c r="G23" s="272">
        <v>45</v>
      </c>
      <c r="H23" s="269">
        <v>0</v>
      </c>
      <c r="K23" s="268" t="s">
        <v>336</v>
      </c>
      <c r="L23" s="272">
        <v>58</v>
      </c>
      <c r="M23" s="269">
        <v>0</v>
      </c>
    </row>
    <row r="24" spans="1:14" ht="15.75">
      <c r="F24" s="268" t="s">
        <v>337</v>
      </c>
      <c r="G24" s="272">
        <v>15</v>
      </c>
      <c r="H24" s="269">
        <v>50</v>
      </c>
      <c r="K24" s="268" t="s">
        <v>337</v>
      </c>
      <c r="L24" s="272">
        <v>25</v>
      </c>
      <c r="M24" s="269">
        <v>50</v>
      </c>
    </row>
    <row r="25" spans="1:14" ht="15.75">
      <c r="F25" s="268" t="s">
        <v>338</v>
      </c>
      <c r="G25" s="272">
        <v>5</v>
      </c>
      <c r="H25" s="269">
        <v>0</v>
      </c>
      <c r="K25" s="268" t="s">
        <v>338</v>
      </c>
      <c r="L25" s="272">
        <v>10</v>
      </c>
      <c r="M25" s="269">
        <v>0</v>
      </c>
    </row>
    <row r="26" spans="1:14" ht="15.75">
      <c r="F26" s="268" t="s">
        <v>339</v>
      </c>
      <c r="G26" s="272">
        <v>0</v>
      </c>
      <c r="H26" s="269">
        <v>45</v>
      </c>
      <c r="K26" s="268" t="s">
        <v>339</v>
      </c>
      <c r="L26" s="272">
        <v>2</v>
      </c>
      <c r="M26" s="269">
        <v>45</v>
      </c>
    </row>
    <row r="27" spans="1:14" ht="15.75">
      <c r="F27" s="268" t="s">
        <v>340</v>
      </c>
      <c r="G27" s="272">
        <v>180</v>
      </c>
      <c r="H27" s="269">
        <v>0</v>
      </c>
      <c r="K27" s="268" t="s">
        <v>340</v>
      </c>
      <c r="L27" s="272">
        <v>200</v>
      </c>
      <c r="M27" s="269">
        <v>0</v>
      </c>
    </row>
    <row r="28" spans="1:14" ht="15.75">
      <c r="F28" s="268" t="s">
        <v>341</v>
      </c>
      <c r="G28" s="272">
        <v>60</v>
      </c>
      <c r="H28" s="269">
        <v>120</v>
      </c>
      <c r="K28" s="268" t="s">
        <v>341</v>
      </c>
      <c r="L28" s="272">
        <v>60</v>
      </c>
      <c r="M28" s="269">
        <v>120</v>
      </c>
    </row>
    <row r="29" spans="1:14" ht="15.75">
      <c r="F29" s="268" t="s">
        <v>334</v>
      </c>
      <c r="G29" s="272">
        <v>35</v>
      </c>
      <c r="H29" s="269">
        <v>0</v>
      </c>
      <c r="K29" s="268" t="s">
        <v>334</v>
      </c>
      <c r="L29" s="272">
        <v>45</v>
      </c>
      <c r="M29" s="269">
        <v>0</v>
      </c>
    </row>
    <row r="30" spans="1:14" ht="16.5" thickBot="1">
      <c r="F30" s="270" t="s">
        <v>335</v>
      </c>
      <c r="G30" s="273">
        <v>25</v>
      </c>
      <c r="H30" s="271">
        <v>135</v>
      </c>
      <c r="K30" s="270" t="s">
        <v>335</v>
      </c>
      <c r="L30" s="273">
        <v>28.5</v>
      </c>
      <c r="M30" s="271">
        <v>135</v>
      </c>
    </row>
  </sheetData>
  <sheetProtection algorithmName="SHA-512" hashValue="sidB0kyZHKFf+hFt4hps0DfQuWQwqAlJWq0XgevnwtA3EavJcI4t3EKGpTtwCdey2qt3metpVeSXQ2cTiEUNdA==" saltValue="TlPxlBTXWDYZbqJmptAEaw==" spinCount="100000" sheet="1" selectLockedCells="1"/>
  <mergeCells count="9">
    <mergeCell ref="K3:M3"/>
    <mergeCell ref="K12:M12"/>
    <mergeCell ref="F1:H1"/>
    <mergeCell ref="K1:M1"/>
    <mergeCell ref="A3:C3"/>
    <mergeCell ref="A12:C12"/>
    <mergeCell ref="A1:C1"/>
    <mergeCell ref="F3:H3"/>
    <mergeCell ref="F12:H12"/>
  </mergeCells>
  <dataValidations count="1">
    <dataValidation allowBlank="1" showInputMessage="1" showErrorMessage="1" prompt="inklusiv aller internen Lasten auch Betriebsstrom" sqref="B6" xr:uid="{00000000-0002-0000-0A00-000000000000}"/>
  </dataValidations>
  <printOptions horizontalCentered="1"/>
  <pageMargins left="0.59055118110236227" right="0.59055118110236227" top="0.59055118110236227" bottom="0.59055118110236227" header="0.31496062992125984" footer="0.31496062992125984"/>
  <pageSetup paperSize="9" scale="3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pageSetUpPr fitToPage="1"/>
  </sheetPr>
  <dimension ref="B1:AB180"/>
  <sheetViews>
    <sheetView zoomScale="55" zoomScaleNormal="55" workbookViewId="0">
      <selection activeCell="R108" sqref="R108"/>
    </sheetView>
  </sheetViews>
  <sheetFormatPr baseColWidth="10" defaultColWidth="11.42578125" defaultRowHeight="14.25"/>
  <cols>
    <col min="1" max="1" width="11.42578125" style="1"/>
    <col min="2" max="28" width="11.28515625" style="1" customWidth="1"/>
    <col min="29" max="16384" width="11.42578125" style="1"/>
  </cols>
  <sheetData>
    <row r="1" spans="2:28" ht="15" thickBot="1"/>
    <row r="2" spans="2:28">
      <c r="B2" s="964" t="s">
        <v>279</v>
      </c>
      <c r="C2" s="965"/>
      <c r="D2" s="966"/>
      <c r="E2" s="966"/>
      <c r="F2" s="966"/>
      <c r="G2" s="966"/>
      <c r="H2" s="966"/>
      <c r="I2" s="966"/>
      <c r="J2" s="966"/>
      <c r="K2" s="966"/>
      <c r="L2" s="966"/>
      <c r="M2" s="966"/>
      <c r="N2" s="967"/>
      <c r="P2" s="971" t="s">
        <v>280</v>
      </c>
      <c r="Q2" s="972"/>
      <c r="R2" s="972"/>
      <c r="S2" s="972"/>
      <c r="T2" s="972"/>
      <c r="U2" s="972"/>
      <c r="V2" s="972"/>
      <c r="W2" s="972"/>
      <c r="X2" s="972"/>
      <c r="Y2" s="972"/>
      <c r="Z2" s="972"/>
      <c r="AA2" s="972"/>
      <c r="AB2" s="973"/>
    </row>
    <row r="3" spans="2:28" ht="15" thickBot="1">
      <c r="B3" s="968"/>
      <c r="C3" s="969"/>
      <c r="D3" s="969"/>
      <c r="E3" s="969"/>
      <c r="F3" s="969"/>
      <c r="G3" s="969"/>
      <c r="H3" s="969"/>
      <c r="I3" s="969"/>
      <c r="J3" s="969"/>
      <c r="K3" s="969"/>
      <c r="L3" s="969"/>
      <c r="M3" s="969"/>
      <c r="N3" s="970"/>
      <c r="P3" s="974"/>
      <c r="Q3" s="975"/>
      <c r="R3" s="975"/>
      <c r="S3" s="975"/>
      <c r="T3" s="975"/>
      <c r="U3" s="975"/>
      <c r="V3" s="975"/>
      <c r="W3" s="975"/>
      <c r="X3" s="975"/>
      <c r="Y3" s="975"/>
      <c r="Z3" s="975"/>
      <c r="AA3" s="975"/>
      <c r="AB3" s="976"/>
    </row>
    <row r="4" spans="2:28">
      <c r="B4" s="145"/>
      <c r="C4" s="145"/>
      <c r="D4" s="145"/>
      <c r="E4" s="145"/>
      <c r="F4" s="145"/>
      <c r="G4" s="145"/>
      <c r="H4" s="145"/>
      <c r="I4" s="145"/>
      <c r="J4" s="145"/>
      <c r="K4" s="145"/>
      <c r="L4" s="145"/>
      <c r="M4" s="145"/>
      <c r="N4" s="145"/>
      <c r="P4" s="146"/>
      <c r="Q4" s="146"/>
      <c r="R4" s="146"/>
      <c r="S4" s="146"/>
      <c r="T4" s="146"/>
      <c r="U4" s="146"/>
      <c r="V4" s="146"/>
      <c r="W4" s="146"/>
      <c r="X4" s="146"/>
      <c r="Y4" s="146"/>
      <c r="Z4" s="146"/>
      <c r="AA4" s="146"/>
      <c r="AB4" s="146"/>
    </row>
    <row r="5" spans="2:28">
      <c r="B5" s="145"/>
      <c r="C5" s="145"/>
      <c r="D5" s="145"/>
      <c r="E5" s="145"/>
      <c r="F5" s="145"/>
      <c r="G5" s="145"/>
      <c r="H5" s="145"/>
      <c r="I5" s="145"/>
      <c r="J5" s="145"/>
      <c r="K5" s="145"/>
      <c r="L5" s="145"/>
      <c r="M5" s="145"/>
      <c r="N5" s="145"/>
      <c r="P5" s="146"/>
      <c r="Q5" s="146"/>
      <c r="R5" s="146"/>
      <c r="S5" s="146"/>
      <c r="T5" s="146"/>
      <c r="U5" s="146"/>
      <c r="V5" s="146"/>
      <c r="W5" s="146"/>
      <c r="X5" s="146"/>
      <c r="Y5" s="146"/>
      <c r="Z5" s="146"/>
      <c r="AA5" s="146"/>
      <c r="AB5" s="146"/>
    </row>
    <row r="6" spans="2:28">
      <c r="B6" s="145"/>
      <c r="C6" s="145"/>
      <c r="D6" s="145"/>
      <c r="E6" s="145"/>
      <c r="F6" s="145"/>
      <c r="G6" s="145"/>
      <c r="H6" s="145"/>
      <c r="I6" s="145"/>
      <c r="J6" s="145"/>
      <c r="K6" s="145"/>
      <c r="L6" s="145"/>
      <c r="M6" s="145"/>
      <c r="N6" s="145"/>
      <c r="P6" s="146"/>
      <c r="Q6" s="146"/>
      <c r="R6" s="146"/>
      <c r="S6" s="146"/>
      <c r="T6" s="146"/>
      <c r="U6" s="146"/>
      <c r="V6" s="146"/>
      <c r="W6" s="146"/>
      <c r="X6" s="146"/>
      <c r="Y6" s="146"/>
      <c r="Z6" s="146"/>
      <c r="AA6" s="146"/>
      <c r="AB6" s="146"/>
    </row>
    <row r="7" spans="2:28">
      <c r="B7" s="145"/>
      <c r="C7" s="145"/>
      <c r="D7" s="145"/>
      <c r="E7" s="145"/>
      <c r="F7" s="145"/>
      <c r="G7" s="145"/>
      <c r="H7" s="145"/>
      <c r="I7" s="145"/>
      <c r="J7" s="145"/>
      <c r="K7" s="145"/>
      <c r="L7" s="145"/>
      <c r="M7" s="145"/>
      <c r="N7" s="145"/>
      <c r="P7" s="146"/>
      <c r="Q7" s="146"/>
      <c r="R7" s="146"/>
      <c r="S7" s="146"/>
      <c r="T7" s="146"/>
      <c r="U7" s="146"/>
      <c r="V7" s="146"/>
      <c r="W7" s="146"/>
      <c r="X7" s="146"/>
      <c r="Y7" s="146"/>
      <c r="Z7" s="146"/>
      <c r="AA7" s="146"/>
      <c r="AB7" s="146"/>
    </row>
    <row r="8" spans="2:28">
      <c r="B8" s="145"/>
      <c r="C8" s="145"/>
      <c r="D8" s="145"/>
      <c r="E8" s="145"/>
      <c r="F8" s="145"/>
      <c r="G8" s="145"/>
      <c r="H8" s="145"/>
      <c r="I8" s="145"/>
      <c r="J8" s="145"/>
      <c r="K8" s="145"/>
      <c r="L8" s="145"/>
      <c r="M8" s="145"/>
      <c r="N8" s="145"/>
      <c r="P8" s="146"/>
      <c r="Q8" s="146"/>
      <c r="R8" s="146"/>
      <c r="S8" s="146"/>
      <c r="T8" s="146"/>
      <c r="U8" s="146"/>
      <c r="V8" s="146"/>
      <c r="W8" s="146"/>
      <c r="X8" s="146"/>
      <c r="Y8" s="146"/>
      <c r="Z8" s="146"/>
      <c r="AA8" s="146"/>
      <c r="AB8" s="146"/>
    </row>
    <row r="9" spans="2:28">
      <c r="B9" s="145"/>
      <c r="C9" s="145"/>
      <c r="D9" s="145"/>
      <c r="E9" s="145"/>
      <c r="F9" s="145"/>
      <c r="G9" s="145"/>
      <c r="H9" s="145"/>
      <c r="I9" s="145"/>
      <c r="J9" s="145"/>
      <c r="K9" s="145"/>
      <c r="L9" s="145"/>
      <c r="M9" s="145"/>
      <c r="N9" s="145"/>
      <c r="P9" s="146"/>
      <c r="Q9" s="146"/>
      <c r="R9" s="146"/>
      <c r="S9" s="146"/>
      <c r="T9" s="146"/>
      <c r="U9" s="146"/>
      <c r="V9" s="146"/>
      <c r="W9" s="146"/>
      <c r="X9" s="146"/>
      <c r="Y9" s="146"/>
      <c r="Z9" s="146"/>
      <c r="AA9" s="146"/>
      <c r="AB9" s="146"/>
    </row>
    <row r="10" spans="2:28">
      <c r="B10" s="145"/>
      <c r="C10" s="145"/>
      <c r="D10" s="145"/>
      <c r="E10" s="145"/>
      <c r="F10" s="145"/>
      <c r="G10" s="145"/>
      <c r="H10" s="145"/>
      <c r="I10" s="145"/>
      <c r="J10" s="145"/>
      <c r="K10" s="145"/>
      <c r="L10" s="145"/>
      <c r="M10" s="145"/>
      <c r="N10" s="145"/>
      <c r="P10" s="146"/>
      <c r="Q10" s="146"/>
      <c r="R10" s="146"/>
      <c r="S10" s="146"/>
      <c r="T10" s="146"/>
      <c r="U10" s="146"/>
      <c r="V10" s="146"/>
      <c r="W10" s="146"/>
      <c r="X10" s="146"/>
      <c r="Y10" s="146"/>
      <c r="Z10" s="146"/>
      <c r="AA10" s="146"/>
      <c r="AB10" s="146"/>
    </row>
    <row r="11" spans="2:28">
      <c r="B11" s="145"/>
      <c r="C11" s="145"/>
      <c r="D11" s="145"/>
      <c r="E11" s="145"/>
      <c r="F11" s="145"/>
      <c r="G11" s="145"/>
      <c r="H11" s="145"/>
      <c r="I11" s="145"/>
      <c r="J11" s="145"/>
      <c r="K11" s="145"/>
      <c r="L11" s="145"/>
      <c r="M11" s="145"/>
      <c r="N11" s="145"/>
      <c r="P11" s="146"/>
      <c r="Q11" s="146"/>
      <c r="R11" s="146"/>
      <c r="S11" s="146"/>
      <c r="T11" s="146"/>
      <c r="U11" s="146"/>
      <c r="V11" s="146"/>
      <c r="W11" s="146"/>
      <c r="X11" s="146"/>
      <c r="Y11" s="146"/>
      <c r="Z11" s="146"/>
      <c r="AA11" s="146"/>
      <c r="AB11" s="146"/>
    </row>
    <row r="12" spans="2:28">
      <c r="B12" s="145"/>
      <c r="C12" s="145"/>
      <c r="D12" s="145"/>
      <c r="E12" s="145"/>
      <c r="F12" s="145"/>
      <c r="G12" s="145"/>
      <c r="H12" s="145"/>
      <c r="I12" s="145"/>
      <c r="J12" s="145"/>
      <c r="K12" s="145"/>
      <c r="L12" s="145"/>
      <c r="M12" s="145"/>
      <c r="N12" s="145"/>
      <c r="P12" s="146"/>
      <c r="Q12" s="146"/>
      <c r="R12" s="146"/>
      <c r="S12" s="146"/>
      <c r="T12" s="146"/>
      <c r="U12" s="146"/>
      <c r="V12" s="146"/>
      <c r="W12" s="146"/>
      <c r="X12" s="146"/>
      <c r="Y12" s="146"/>
      <c r="Z12" s="146"/>
      <c r="AA12" s="146"/>
      <c r="AB12" s="146"/>
    </row>
    <row r="13" spans="2:28">
      <c r="B13" s="145"/>
      <c r="C13" s="145"/>
      <c r="D13" s="145"/>
      <c r="E13" s="145"/>
      <c r="F13" s="145"/>
      <c r="G13" s="145"/>
      <c r="H13" s="145"/>
      <c r="I13" s="145"/>
      <c r="J13" s="145"/>
      <c r="K13" s="145"/>
      <c r="L13" s="145"/>
      <c r="M13" s="145"/>
      <c r="N13" s="145"/>
      <c r="P13" s="146"/>
      <c r="Q13" s="146"/>
      <c r="R13" s="146"/>
      <c r="S13" s="146"/>
      <c r="T13" s="146"/>
      <c r="U13" s="146"/>
      <c r="V13" s="146"/>
      <c r="W13" s="146"/>
      <c r="X13" s="146"/>
      <c r="Y13" s="146"/>
      <c r="Z13" s="146"/>
      <c r="AA13" s="146"/>
      <c r="AB13" s="146"/>
    </row>
    <row r="14" spans="2:28">
      <c r="B14" s="145"/>
      <c r="C14" s="145"/>
      <c r="D14" s="145"/>
      <c r="E14" s="145"/>
      <c r="F14" s="145"/>
      <c r="G14" s="145"/>
      <c r="H14" s="145"/>
      <c r="I14" s="145"/>
      <c r="J14" s="145"/>
      <c r="K14" s="145"/>
      <c r="L14" s="145"/>
      <c r="M14" s="145"/>
      <c r="N14" s="145"/>
      <c r="P14" s="146"/>
      <c r="Q14" s="146"/>
      <c r="R14" s="146"/>
      <c r="S14" s="146"/>
      <c r="T14" s="146"/>
      <c r="U14" s="146"/>
      <c r="V14" s="146"/>
      <c r="W14" s="146"/>
      <c r="X14" s="146"/>
      <c r="Y14" s="146"/>
      <c r="Z14" s="146"/>
      <c r="AA14" s="146"/>
      <c r="AB14" s="146"/>
    </row>
    <row r="15" spans="2:28">
      <c r="B15" s="145"/>
      <c r="C15" s="145"/>
      <c r="D15" s="145"/>
      <c r="E15" s="145"/>
      <c r="F15" s="145"/>
      <c r="G15" s="145"/>
      <c r="H15" s="145"/>
      <c r="I15" s="145"/>
      <c r="J15" s="145"/>
      <c r="K15" s="145"/>
      <c r="L15" s="145"/>
      <c r="M15" s="145"/>
      <c r="N15" s="145"/>
      <c r="P15" s="146"/>
      <c r="Q15" s="146"/>
      <c r="R15" s="146"/>
      <c r="S15" s="146"/>
      <c r="T15" s="146"/>
      <c r="U15" s="146"/>
      <c r="V15" s="146"/>
      <c r="W15" s="146"/>
      <c r="X15" s="146"/>
      <c r="Y15" s="146"/>
      <c r="Z15" s="146"/>
      <c r="AA15" s="146"/>
      <c r="AB15" s="146"/>
    </row>
    <row r="16" spans="2:28">
      <c r="B16" s="145"/>
      <c r="C16" s="145"/>
      <c r="D16" s="145"/>
      <c r="E16" s="145"/>
      <c r="F16" s="145"/>
      <c r="G16" s="145"/>
      <c r="H16" s="145"/>
      <c r="I16" s="145"/>
      <c r="J16" s="145"/>
      <c r="K16" s="145"/>
      <c r="L16" s="145"/>
      <c r="M16" s="145"/>
      <c r="N16" s="145"/>
      <c r="P16" s="146"/>
      <c r="Q16" s="146"/>
      <c r="R16" s="146"/>
      <c r="S16" s="146"/>
      <c r="T16" s="146"/>
      <c r="U16" s="146"/>
      <c r="V16" s="146"/>
      <c r="W16" s="146"/>
      <c r="X16" s="146"/>
      <c r="Y16" s="146"/>
      <c r="Z16" s="146"/>
      <c r="AA16" s="146"/>
      <c r="AB16" s="146"/>
    </row>
    <row r="17" spans="2:28">
      <c r="B17" s="145"/>
      <c r="C17" s="145"/>
      <c r="D17" s="145"/>
      <c r="E17" s="145"/>
      <c r="F17" s="145"/>
      <c r="G17" s="145"/>
      <c r="H17" s="145"/>
      <c r="I17" s="145"/>
      <c r="J17" s="145"/>
      <c r="K17" s="145"/>
      <c r="L17" s="145"/>
      <c r="M17" s="145"/>
      <c r="N17" s="145"/>
      <c r="P17" s="146"/>
      <c r="Q17" s="146"/>
      <c r="R17" s="146"/>
      <c r="S17" s="146"/>
      <c r="T17" s="146"/>
      <c r="U17" s="146"/>
      <c r="V17" s="146"/>
      <c r="W17" s="146"/>
      <c r="X17" s="146"/>
      <c r="Y17" s="146"/>
      <c r="Z17" s="146"/>
      <c r="AA17" s="146"/>
      <c r="AB17" s="146"/>
    </row>
    <row r="18" spans="2:28">
      <c r="B18" s="145"/>
      <c r="C18" s="145"/>
      <c r="D18" s="145"/>
      <c r="E18" s="145"/>
      <c r="F18" s="145"/>
      <c r="G18" s="145"/>
      <c r="H18" s="145"/>
      <c r="I18" s="145"/>
      <c r="J18" s="145"/>
      <c r="K18" s="145"/>
      <c r="L18" s="145"/>
      <c r="M18" s="145"/>
      <c r="N18" s="145"/>
      <c r="P18" s="146"/>
      <c r="Q18" s="146"/>
      <c r="R18" s="146"/>
      <c r="S18" s="146"/>
      <c r="T18" s="146"/>
      <c r="U18" s="146"/>
      <c r="V18" s="146"/>
      <c r="W18" s="146"/>
      <c r="X18" s="146"/>
      <c r="Y18" s="146"/>
      <c r="Z18" s="146"/>
      <c r="AA18" s="146"/>
      <c r="AB18" s="146"/>
    </row>
    <row r="19" spans="2:28">
      <c r="B19" s="145"/>
      <c r="C19" s="145"/>
      <c r="D19" s="145"/>
      <c r="E19" s="145"/>
      <c r="F19" s="145"/>
      <c r="G19" s="145"/>
      <c r="H19" s="145"/>
      <c r="I19" s="145"/>
      <c r="J19" s="145"/>
      <c r="K19" s="145"/>
      <c r="L19" s="145"/>
      <c r="M19" s="145"/>
      <c r="N19" s="145"/>
      <c r="P19" s="146"/>
      <c r="Q19" s="146"/>
      <c r="R19" s="146"/>
      <c r="S19" s="146"/>
      <c r="T19" s="146"/>
      <c r="U19" s="146"/>
      <c r="V19" s="146"/>
      <c r="W19" s="146"/>
      <c r="X19" s="146"/>
      <c r="Y19" s="146"/>
      <c r="Z19" s="146"/>
      <c r="AA19" s="146"/>
      <c r="AB19" s="146"/>
    </row>
    <row r="20" spans="2:28">
      <c r="B20" s="145"/>
      <c r="C20" s="145"/>
      <c r="D20" s="145"/>
      <c r="E20" s="145"/>
      <c r="F20" s="145"/>
      <c r="G20" s="145"/>
      <c r="H20" s="145"/>
      <c r="I20" s="145"/>
      <c r="J20" s="145"/>
      <c r="K20" s="145"/>
      <c r="L20" s="145"/>
      <c r="M20" s="145"/>
      <c r="N20" s="145"/>
      <c r="P20" s="146"/>
      <c r="Q20" s="146"/>
      <c r="R20" s="146"/>
      <c r="S20" s="146"/>
      <c r="T20" s="146"/>
      <c r="U20" s="146"/>
      <c r="V20" s="146"/>
      <c r="W20" s="146"/>
      <c r="X20" s="146"/>
      <c r="Y20" s="146"/>
      <c r="Z20" s="146"/>
      <c r="AA20" s="146"/>
      <c r="AB20" s="146"/>
    </row>
    <row r="21" spans="2:28">
      <c r="B21" s="145"/>
      <c r="C21" s="145"/>
      <c r="D21" s="145"/>
      <c r="E21" s="145"/>
      <c r="F21" s="145"/>
      <c r="G21" s="145"/>
      <c r="H21" s="145"/>
      <c r="I21" s="145"/>
      <c r="J21" s="145"/>
      <c r="K21" s="145"/>
      <c r="L21" s="145"/>
      <c r="M21" s="145"/>
      <c r="N21" s="145"/>
      <c r="P21" s="146"/>
      <c r="Q21" s="146"/>
      <c r="R21" s="146"/>
      <c r="S21" s="146"/>
      <c r="T21" s="146"/>
      <c r="U21" s="146"/>
      <c r="V21" s="146"/>
      <c r="W21" s="146"/>
      <c r="X21" s="146"/>
      <c r="Y21" s="146"/>
      <c r="Z21" s="146"/>
      <c r="AA21" s="146"/>
      <c r="AB21" s="146"/>
    </row>
    <row r="22" spans="2:28">
      <c r="B22" s="145"/>
      <c r="C22" s="145"/>
      <c r="D22" s="145"/>
      <c r="E22" s="145"/>
      <c r="F22" s="145"/>
      <c r="G22" s="145"/>
      <c r="H22" s="145"/>
      <c r="I22" s="145"/>
      <c r="J22" s="145"/>
      <c r="K22" s="145"/>
      <c r="L22" s="145"/>
      <c r="M22" s="145"/>
      <c r="N22" s="145"/>
      <c r="P22" s="146"/>
      <c r="Q22" s="146"/>
      <c r="R22" s="146"/>
      <c r="S22" s="146"/>
      <c r="T22" s="146"/>
      <c r="U22" s="146"/>
      <c r="V22" s="146"/>
      <c r="W22" s="146"/>
      <c r="X22" s="146"/>
      <c r="Y22" s="146"/>
      <c r="Z22" s="146"/>
      <c r="AA22" s="146"/>
      <c r="AB22" s="146"/>
    </row>
    <row r="23" spans="2:28">
      <c r="B23" s="145"/>
      <c r="C23" s="145"/>
      <c r="D23" s="145"/>
      <c r="E23" s="145"/>
      <c r="F23" s="145"/>
      <c r="G23" s="145"/>
      <c r="H23" s="145"/>
      <c r="I23" s="145"/>
      <c r="J23" s="145"/>
      <c r="K23" s="145"/>
      <c r="L23" s="145"/>
      <c r="M23" s="145"/>
      <c r="N23" s="145"/>
      <c r="P23" s="146"/>
      <c r="Q23" s="146"/>
      <c r="R23" s="146"/>
      <c r="S23" s="146"/>
      <c r="T23" s="146"/>
      <c r="U23" s="146"/>
      <c r="V23" s="146"/>
      <c r="W23" s="146"/>
      <c r="X23" s="146"/>
      <c r="Y23" s="146"/>
      <c r="Z23" s="146"/>
      <c r="AA23" s="146"/>
      <c r="AB23" s="146"/>
    </row>
    <row r="24" spans="2:28">
      <c r="B24" s="145"/>
      <c r="C24" s="145"/>
      <c r="D24" s="145"/>
      <c r="E24" s="145"/>
      <c r="F24" s="145"/>
      <c r="G24" s="145"/>
      <c r="H24" s="145"/>
      <c r="I24" s="145"/>
      <c r="J24" s="145"/>
      <c r="K24" s="145"/>
      <c r="L24" s="145"/>
      <c r="M24" s="145"/>
      <c r="N24" s="145"/>
      <c r="P24" s="146"/>
      <c r="Q24" s="146"/>
      <c r="R24" s="146"/>
      <c r="S24" s="146"/>
      <c r="T24" s="146"/>
      <c r="U24" s="146"/>
      <c r="V24" s="146"/>
      <c r="W24" s="146"/>
      <c r="X24" s="146"/>
      <c r="Y24" s="146"/>
      <c r="Z24" s="146"/>
      <c r="AA24" s="146"/>
      <c r="AB24" s="146"/>
    </row>
    <row r="25" spans="2:28">
      <c r="B25" s="145"/>
      <c r="C25" s="145"/>
      <c r="D25" s="145"/>
      <c r="E25" s="145"/>
      <c r="F25" s="145"/>
      <c r="G25" s="145"/>
      <c r="H25" s="145"/>
      <c r="I25" s="145"/>
      <c r="J25" s="145"/>
      <c r="K25" s="145"/>
      <c r="L25" s="145"/>
      <c r="M25" s="145"/>
      <c r="N25" s="145"/>
      <c r="P25" s="146"/>
      <c r="Q25" s="146"/>
      <c r="R25" s="146"/>
      <c r="S25" s="146"/>
      <c r="T25" s="146"/>
      <c r="U25" s="146"/>
      <c r="V25" s="146"/>
      <c r="W25" s="146"/>
      <c r="X25" s="146"/>
      <c r="Y25" s="146"/>
      <c r="Z25" s="146"/>
      <c r="AA25" s="146"/>
      <c r="AB25" s="146"/>
    </row>
    <row r="26" spans="2:28">
      <c r="B26" s="145"/>
      <c r="C26" s="145"/>
      <c r="D26" s="145"/>
      <c r="E26" s="145"/>
      <c r="F26" s="145"/>
      <c r="G26" s="145"/>
      <c r="H26" s="145"/>
      <c r="I26" s="145"/>
      <c r="J26" s="145"/>
      <c r="K26" s="145"/>
      <c r="L26" s="145"/>
      <c r="M26" s="145"/>
      <c r="N26" s="145"/>
      <c r="P26" s="146"/>
      <c r="Q26" s="146"/>
      <c r="R26" s="146"/>
      <c r="S26" s="146"/>
      <c r="T26" s="146"/>
      <c r="U26" s="146"/>
      <c r="V26" s="146"/>
      <c r="W26" s="146"/>
      <c r="X26" s="146"/>
      <c r="Y26" s="146"/>
      <c r="Z26" s="146"/>
      <c r="AA26" s="146"/>
      <c r="AB26" s="146"/>
    </row>
    <row r="27" spans="2:28">
      <c r="B27" s="145"/>
      <c r="C27" s="145"/>
      <c r="D27" s="145"/>
      <c r="E27" s="145"/>
      <c r="F27" s="145"/>
      <c r="G27" s="145"/>
      <c r="H27" s="145"/>
      <c r="I27" s="145"/>
      <c r="J27" s="145"/>
      <c r="K27" s="145"/>
      <c r="L27" s="145"/>
      <c r="M27" s="145"/>
      <c r="N27" s="145"/>
      <c r="P27" s="146"/>
      <c r="Q27" s="146"/>
      <c r="R27" s="146"/>
      <c r="S27" s="146"/>
      <c r="T27" s="146"/>
      <c r="U27" s="146"/>
      <c r="V27" s="146"/>
      <c r="W27" s="146"/>
      <c r="X27" s="146"/>
      <c r="Y27" s="146"/>
      <c r="Z27" s="146"/>
      <c r="AA27" s="146"/>
      <c r="AB27" s="146"/>
    </row>
    <row r="28" spans="2:28">
      <c r="B28" s="145"/>
      <c r="C28" s="145"/>
      <c r="D28" s="145"/>
      <c r="E28" s="145"/>
      <c r="F28" s="145"/>
      <c r="G28" s="145"/>
      <c r="H28" s="145"/>
      <c r="I28" s="145"/>
      <c r="J28" s="145"/>
      <c r="K28" s="145"/>
      <c r="L28" s="145"/>
      <c r="M28" s="145"/>
      <c r="N28" s="145"/>
      <c r="P28" s="146"/>
      <c r="Q28" s="146"/>
      <c r="R28" s="146"/>
      <c r="S28" s="146"/>
      <c r="T28" s="146"/>
      <c r="U28" s="146"/>
      <c r="V28" s="146"/>
      <c r="W28" s="146"/>
      <c r="X28" s="146"/>
      <c r="Y28" s="146"/>
      <c r="Z28" s="146"/>
      <c r="AA28" s="146"/>
      <c r="AB28" s="146"/>
    </row>
    <row r="29" spans="2:28">
      <c r="B29" s="145"/>
      <c r="C29" s="145"/>
      <c r="D29" s="145"/>
      <c r="E29" s="145"/>
      <c r="F29" s="145"/>
      <c r="G29" s="145"/>
      <c r="H29" s="145"/>
      <c r="I29" s="145"/>
      <c r="J29" s="145"/>
      <c r="K29" s="145"/>
      <c r="L29" s="145"/>
      <c r="M29" s="145"/>
      <c r="N29" s="145"/>
      <c r="P29" s="146"/>
      <c r="Q29" s="146"/>
      <c r="R29" s="146"/>
      <c r="S29" s="146"/>
      <c r="T29" s="146"/>
      <c r="U29" s="146"/>
      <c r="V29" s="146"/>
      <c r="W29" s="146"/>
      <c r="X29" s="146"/>
      <c r="Y29" s="146"/>
      <c r="Z29" s="146"/>
      <c r="AA29" s="146"/>
      <c r="AB29" s="146"/>
    </row>
    <row r="30" spans="2:28">
      <c r="B30" s="145"/>
      <c r="C30" s="145"/>
      <c r="D30" s="145"/>
      <c r="E30" s="145"/>
      <c r="F30" s="145"/>
      <c r="G30" s="145"/>
      <c r="H30" s="145"/>
      <c r="I30" s="145"/>
      <c r="J30" s="145"/>
      <c r="K30" s="145"/>
      <c r="L30" s="145"/>
      <c r="M30" s="145"/>
      <c r="N30" s="145"/>
      <c r="P30" s="146"/>
      <c r="Q30" s="146"/>
      <c r="R30" s="146"/>
      <c r="S30" s="146"/>
      <c r="T30" s="146"/>
      <c r="U30" s="146"/>
      <c r="V30" s="146"/>
      <c r="W30" s="146"/>
      <c r="X30" s="146"/>
      <c r="Y30" s="146"/>
      <c r="Z30" s="146"/>
      <c r="AA30" s="146"/>
      <c r="AB30" s="146"/>
    </row>
    <row r="31" spans="2:28">
      <c r="B31" s="145"/>
      <c r="C31" s="145"/>
      <c r="D31" s="145"/>
      <c r="E31" s="145"/>
      <c r="F31" s="145"/>
      <c r="G31" s="145"/>
      <c r="H31" s="145"/>
      <c r="I31" s="145"/>
      <c r="J31" s="145"/>
      <c r="K31" s="145"/>
      <c r="L31" s="145"/>
      <c r="M31" s="145"/>
      <c r="N31" s="145"/>
      <c r="P31" s="146"/>
      <c r="Q31" s="146"/>
      <c r="R31" s="146"/>
      <c r="S31" s="146"/>
      <c r="T31" s="146"/>
      <c r="U31" s="146"/>
      <c r="V31" s="146"/>
      <c r="W31" s="146"/>
      <c r="X31" s="146"/>
      <c r="Y31" s="146"/>
      <c r="Z31" s="146"/>
      <c r="AA31" s="146"/>
      <c r="AB31" s="146"/>
    </row>
    <row r="32" spans="2:28">
      <c r="B32" s="145"/>
      <c r="C32" s="145"/>
      <c r="D32" s="145"/>
      <c r="E32" s="145"/>
      <c r="F32" s="145"/>
      <c r="G32" s="145"/>
      <c r="H32" s="145"/>
      <c r="I32" s="145"/>
      <c r="J32" s="145"/>
      <c r="K32" s="145"/>
      <c r="L32" s="145"/>
      <c r="M32" s="145"/>
      <c r="N32" s="145"/>
      <c r="P32" s="146"/>
      <c r="Q32" s="146"/>
      <c r="R32" s="146"/>
      <c r="S32" s="146"/>
      <c r="T32" s="146"/>
      <c r="U32" s="146"/>
      <c r="V32" s="146"/>
      <c r="W32" s="146"/>
      <c r="X32" s="146"/>
      <c r="Y32" s="146"/>
      <c r="Z32" s="146"/>
      <c r="AA32" s="146"/>
      <c r="AB32" s="146"/>
    </row>
    <row r="33" spans="2:28">
      <c r="B33" s="145"/>
      <c r="C33" s="145"/>
      <c r="D33" s="145"/>
      <c r="E33" s="145"/>
      <c r="F33" s="145"/>
      <c r="G33" s="145"/>
      <c r="H33" s="145"/>
      <c r="I33" s="145"/>
      <c r="J33" s="145"/>
      <c r="K33" s="145"/>
      <c r="L33" s="145"/>
      <c r="M33" s="145"/>
      <c r="N33" s="145"/>
      <c r="P33" s="146"/>
      <c r="Q33" s="146"/>
      <c r="R33" s="146"/>
      <c r="S33" s="146"/>
      <c r="T33" s="146"/>
      <c r="U33" s="146"/>
      <c r="V33" s="146"/>
      <c r="W33" s="146"/>
      <c r="X33" s="146"/>
      <c r="Y33" s="146"/>
      <c r="Z33" s="146"/>
      <c r="AA33" s="146"/>
      <c r="AB33" s="146"/>
    </row>
    <row r="34" spans="2:28">
      <c r="B34" s="145"/>
      <c r="C34" s="145"/>
      <c r="D34" s="145"/>
      <c r="E34" s="145"/>
      <c r="F34" s="145"/>
      <c r="G34" s="145"/>
      <c r="H34" s="145"/>
      <c r="I34" s="145"/>
      <c r="J34" s="145"/>
      <c r="K34" s="145"/>
      <c r="L34" s="145"/>
      <c r="M34" s="145"/>
      <c r="N34" s="145"/>
      <c r="P34" s="146"/>
      <c r="Q34" s="146"/>
      <c r="R34" s="146"/>
      <c r="S34" s="146"/>
      <c r="T34" s="146"/>
      <c r="U34" s="146"/>
      <c r="V34" s="146"/>
      <c r="W34" s="146"/>
      <c r="X34" s="146"/>
      <c r="Y34" s="146"/>
      <c r="Z34" s="146"/>
      <c r="AA34" s="146"/>
      <c r="AB34" s="146"/>
    </row>
    <row r="35" spans="2:28">
      <c r="B35" s="145"/>
      <c r="C35" s="145"/>
      <c r="D35" s="145"/>
      <c r="E35" s="145"/>
      <c r="F35" s="145"/>
      <c r="G35" s="145"/>
      <c r="H35" s="145"/>
      <c r="I35" s="145"/>
      <c r="J35" s="145"/>
      <c r="K35" s="145"/>
      <c r="L35" s="145"/>
      <c r="M35" s="145"/>
      <c r="N35" s="145"/>
      <c r="P35" s="146"/>
      <c r="Q35" s="146"/>
      <c r="R35" s="146"/>
      <c r="S35" s="146"/>
      <c r="T35" s="146"/>
      <c r="U35" s="146"/>
      <c r="V35" s="146"/>
      <c r="W35" s="146"/>
      <c r="X35" s="146"/>
      <c r="Y35" s="146"/>
      <c r="Z35" s="146"/>
      <c r="AA35" s="146"/>
      <c r="AB35" s="146"/>
    </row>
    <row r="36" spans="2:28">
      <c r="B36" s="145"/>
      <c r="C36" s="145"/>
      <c r="D36" s="145"/>
      <c r="E36" s="145"/>
      <c r="F36" s="145"/>
      <c r="G36" s="145"/>
      <c r="H36" s="145"/>
      <c r="I36" s="145"/>
      <c r="J36" s="145"/>
      <c r="K36" s="145"/>
      <c r="L36" s="145"/>
      <c r="M36" s="145"/>
      <c r="N36" s="145"/>
      <c r="P36" s="146"/>
      <c r="Q36" s="146"/>
      <c r="R36" s="146"/>
      <c r="S36" s="146"/>
      <c r="T36" s="146"/>
      <c r="U36" s="146"/>
      <c r="V36" s="146"/>
      <c r="W36" s="146"/>
      <c r="X36" s="146"/>
      <c r="Y36" s="146"/>
      <c r="Z36" s="146"/>
      <c r="AA36" s="146"/>
      <c r="AB36" s="146"/>
    </row>
    <row r="37" spans="2:28">
      <c r="B37" s="145"/>
      <c r="C37" s="145"/>
      <c r="D37" s="145"/>
      <c r="E37" s="145"/>
      <c r="F37" s="145"/>
      <c r="G37" s="145"/>
      <c r="H37" s="145"/>
      <c r="I37" s="145"/>
      <c r="J37" s="145"/>
      <c r="K37" s="145"/>
      <c r="L37" s="145"/>
      <c r="M37" s="145"/>
      <c r="N37" s="145"/>
      <c r="P37" s="146"/>
      <c r="Q37" s="146"/>
      <c r="R37" s="146"/>
      <c r="S37" s="146"/>
      <c r="T37" s="146"/>
      <c r="U37" s="146"/>
      <c r="V37" s="146"/>
      <c r="W37" s="146"/>
      <c r="X37" s="146"/>
      <c r="Y37" s="146"/>
      <c r="Z37" s="146"/>
      <c r="AA37" s="146"/>
      <c r="AB37" s="146"/>
    </row>
    <row r="38" spans="2:28">
      <c r="B38" s="145"/>
      <c r="C38" s="145"/>
      <c r="D38" s="145"/>
      <c r="E38" s="145"/>
      <c r="F38" s="145"/>
      <c r="G38" s="145"/>
      <c r="H38" s="145"/>
      <c r="I38" s="145"/>
      <c r="J38" s="145"/>
      <c r="K38" s="145"/>
      <c r="L38" s="145"/>
      <c r="M38" s="145"/>
      <c r="N38" s="145"/>
      <c r="P38" s="146"/>
      <c r="Q38" s="146"/>
      <c r="R38" s="146"/>
      <c r="S38" s="146"/>
      <c r="T38" s="146"/>
      <c r="U38" s="146"/>
      <c r="V38" s="146"/>
      <c r="W38" s="146"/>
      <c r="X38" s="146"/>
      <c r="Y38" s="146"/>
      <c r="Z38" s="146"/>
      <c r="AA38" s="146"/>
      <c r="AB38" s="146"/>
    </row>
    <row r="39" spans="2:28">
      <c r="B39" s="145"/>
      <c r="C39" s="145"/>
      <c r="D39" s="145"/>
      <c r="E39" s="145"/>
      <c r="F39" s="145"/>
      <c r="G39" s="145"/>
      <c r="H39" s="145"/>
      <c r="I39" s="145"/>
      <c r="J39" s="145"/>
      <c r="K39" s="145"/>
      <c r="L39" s="145"/>
      <c r="M39" s="145"/>
      <c r="N39" s="145"/>
      <c r="P39" s="146"/>
      <c r="Q39" s="146"/>
      <c r="R39" s="146"/>
      <c r="S39" s="146"/>
      <c r="T39" s="146"/>
      <c r="U39" s="146"/>
      <c r="V39" s="146"/>
      <c r="W39" s="146"/>
      <c r="X39" s="146"/>
      <c r="Y39" s="146"/>
      <c r="Z39" s="146"/>
      <c r="AA39" s="146"/>
      <c r="AB39" s="146"/>
    </row>
    <row r="40" spans="2:28">
      <c r="B40" s="145"/>
      <c r="C40" s="145"/>
      <c r="D40" s="145"/>
      <c r="E40" s="145"/>
      <c r="F40" s="145"/>
      <c r="G40" s="145"/>
      <c r="H40" s="145"/>
      <c r="I40" s="145"/>
      <c r="J40" s="145"/>
      <c r="K40" s="145"/>
      <c r="L40" s="145"/>
      <c r="M40" s="145"/>
      <c r="N40" s="145"/>
      <c r="P40" s="146"/>
      <c r="Q40" s="146"/>
      <c r="R40" s="146"/>
      <c r="S40" s="146"/>
      <c r="T40" s="146"/>
      <c r="U40" s="146"/>
      <c r="V40" s="146"/>
      <c r="W40" s="146"/>
      <c r="X40" s="146"/>
      <c r="Y40" s="146"/>
      <c r="Z40" s="146"/>
      <c r="AA40" s="146"/>
      <c r="AB40" s="146"/>
    </row>
    <row r="41" spans="2:28">
      <c r="B41" s="145"/>
      <c r="C41" s="145"/>
      <c r="D41" s="145"/>
      <c r="E41" s="145"/>
      <c r="F41" s="145"/>
      <c r="G41" s="145"/>
      <c r="H41" s="145"/>
      <c r="I41" s="145"/>
      <c r="J41" s="145"/>
      <c r="K41" s="145"/>
      <c r="L41" s="145"/>
      <c r="M41" s="145"/>
      <c r="N41" s="145"/>
      <c r="P41" s="146"/>
      <c r="Q41" s="146"/>
      <c r="R41" s="146"/>
      <c r="S41" s="146"/>
      <c r="T41" s="146"/>
      <c r="U41" s="146"/>
      <c r="V41" s="146"/>
      <c r="W41" s="146"/>
      <c r="X41" s="146"/>
      <c r="Y41" s="146"/>
      <c r="Z41" s="146"/>
      <c r="AA41" s="146"/>
      <c r="AB41" s="146"/>
    </row>
    <row r="42" spans="2:28">
      <c r="B42" s="145"/>
      <c r="C42" s="145"/>
      <c r="D42" s="145"/>
      <c r="E42" s="145"/>
      <c r="F42" s="145"/>
      <c r="G42" s="145"/>
      <c r="H42" s="145"/>
      <c r="I42" s="145"/>
      <c r="J42" s="145"/>
      <c r="K42" s="145"/>
      <c r="L42" s="145"/>
      <c r="M42" s="145"/>
      <c r="N42" s="145"/>
      <c r="P42" s="146"/>
      <c r="Q42" s="146"/>
      <c r="R42" s="146"/>
      <c r="S42" s="146"/>
      <c r="T42" s="146"/>
      <c r="U42" s="146"/>
      <c r="V42" s="146"/>
      <c r="W42" s="146"/>
      <c r="X42" s="146"/>
      <c r="Y42" s="146"/>
      <c r="Z42" s="146"/>
      <c r="AA42" s="146"/>
      <c r="AB42" s="146"/>
    </row>
    <row r="43" spans="2:28">
      <c r="B43" s="145"/>
      <c r="C43" s="145"/>
      <c r="D43" s="145"/>
      <c r="E43" s="145"/>
      <c r="F43" s="145"/>
      <c r="G43" s="145"/>
      <c r="H43" s="145"/>
      <c r="I43" s="145"/>
      <c r="J43" s="145"/>
      <c r="K43" s="145"/>
      <c r="L43" s="145"/>
      <c r="M43" s="145"/>
      <c r="N43" s="145"/>
      <c r="P43" s="146"/>
      <c r="Q43" s="146"/>
      <c r="R43" s="146"/>
      <c r="S43" s="146"/>
      <c r="T43" s="146"/>
      <c r="U43" s="146"/>
      <c r="V43" s="146"/>
      <c r="W43" s="146"/>
      <c r="X43" s="146"/>
      <c r="Y43" s="146"/>
      <c r="Z43" s="146"/>
      <c r="AA43" s="146"/>
      <c r="AB43" s="146"/>
    </row>
    <row r="44" spans="2:28">
      <c r="B44" s="145"/>
      <c r="C44" s="145"/>
      <c r="D44" s="145"/>
      <c r="E44" s="145"/>
      <c r="F44" s="145"/>
      <c r="G44" s="145"/>
      <c r="H44" s="145"/>
      <c r="I44" s="145"/>
      <c r="J44" s="145"/>
      <c r="K44" s="145"/>
      <c r="L44" s="145"/>
      <c r="M44" s="145"/>
      <c r="N44" s="145"/>
      <c r="P44" s="146"/>
      <c r="Q44" s="146"/>
      <c r="R44" s="146"/>
      <c r="S44" s="146"/>
      <c r="T44" s="146"/>
      <c r="U44" s="146"/>
      <c r="V44" s="146"/>
      <c r="W44" s="146"/>
      <c r="X44" s="146"/>
      <c r="Y44" s="146"/>
      <c r="Z44" s="146"/>
      <c r="AA44" s="146"/>
      <c r="AB44" s="146"/>
    </row>
    <row r="45" spans="2:28">
      <c r="B45" s="145"/>
      <c r="C45" s="145"/>
      <c r="D45" s="145"/>
      <c r="E45" s="145"/>
      <c r="F45" s="145"/>
      <c r="G45" s="145"/>
      <c r="H45" s="145"/>
      <c r="I45" s="145"/>
      <c r="J45" s="145"/>
      <c r="K45" s="145"/>
      <c r="L45" s="145"/>
      <c r="M45" s="145"/>
      <c r="N45" s="145"/>
      <c r="P45" s="146"/>
      <c r="Q45" s="146"/>
      <c r="R45" s="146"/>
      <c r="S45" s="146"/>
      <c r="T45" s="146"/>
      <c r="U45" s="146"/>
      <c r="V45" s="146"/>
      <c r="W45" s="146"/>
      <c r="X45" s="146"/>
      <c r="Y45" s="146"/>
      <c r="Z45" s="146"/>
      <c r="AA45" s="146"/>
      <c r="AB45" s="146"/>
    </row>
    <row r="46" spans="2:28">
      <c r="B46" s="145"/>
      <c r="C46" s="145"/>
      <c r="D46" s="145"/>
      <c r="E46" s="145"/>
      <c r="F46" s="145"/>
      <c r="G46" s="145"/>
      <c r="H46" s="145"/>
      <c r="I46" s="145"/>
      <c r="J46" s="145"/>
      <c r="K46" s="145"/>
      <c r="L46" s="145"/>
      <c r="M46" s="145"/>
      <c r="N46" s="145"/>
      <c r="P46" s="146"/>
      <c r="Q46" s="146"/>
      <c r="R46" s="146"/>
      <c r="S46" s="146"/>
      <c r="T46" s="146"/>
      <c r="U46" s="146"/>
      <c r="V46" s="146"/>
      <c r="W46" s="146"/>
      <c r="X46" s="146"/>
      <c r="Y46" s="146"/>
      <c r="Z46" s="146"/>
      <c r="AA46" s="146"/>
      <c r="AB46" s="146"/>
    </row>
    <row r="47" spans="2:28">
      <c r="B47" s="145"/>
      <c r="C47" s="145"/>
      <c r="D47" s="145"/>
      <c r="E47" s="145"/>
      <c r="F47" s="145"/>
      <c r="G47" s="145"/>
      <c r="H47" s="145"/>
      <c r="I47" s="145"/>
      <c r="J47" s="145"/>
      <c r="K47" s="145"/>
      <c r="L47" s="145"/>
      <c r="M47" s="145"/>
      <c r="N47" s="145"/>
      <c r="P47" s="146"/>
      <c r="Q47" s="146"/>
      <c r="R47" s="146"/>
      <c r="S47" s="146"/>
      <c r="T47" s="146"/>
      <c r="U47" s="146"/>
      <c r="V47" s="146"/>
      <c r="W47" s="146"/>
      <c r="X47" s="146"/>
      <c r="Y47" s="146"/>
      <c r="Z47" s="146"/>
      <c r="AA47" s="146"/>
      <c r="AB47" s="146"/>
    </row>
    <row r="48" spans="2:28">
      <c r="B48" s="145"/>
      <c r="C48" s="145"/>
      <c r="D48" s="145"/>
      <c r="E48" s="145"/>
      <c r="F48" s="145"/>
      <c r="G48" s="145"/>
      <c r="H48" s="145"/>
      <c r="I48" s="145"/>
      <c r="J48" s="145"/>
      <c r="K48" s="145"/>
      <c r="L48" s="145"/>
      <c r="M48" s="145"/>
      <c r="N48" s="145"/>
      <c r="P48" s="146"/>
      <c r="Q48" s="146"/>
      <c r="R48" s="146"/>
      <c r="S48" s="146"/>
      <c r="T48" s="146"/>
      <c r="U48" s="146"/>
      <c r="V48" s="146"/>
      <c r="W48" s="146"/>
      <c r="X48" s="146"/>
      <c r="Y48" s="146"/>
      <c r="Z48" s="146"/>
      <c r="AA48" s="146"/>
      <c r="AB48" s="146"/>
    </row>
    <row r="49" spans="2:28">
      <c r="B49" s="145"/>
      <c r="C49" s="145"/>
      <c r="D49" s="145"/>
      <c r="E49" s="145"/>
      <c r="F49" s="145"/>
      <c r="G49" s="145"/>
      <c r="H49" s="145"/>
      <c r="I49" s="145"/>
      <c r="J49" s="145"/>
      <c r="K49" s="145"/>
      <c r="L49" s="145"/>
      <c r="M49" s="145"/>
      <c r="N49" s="145"/>
      <c r="P49" s="146"/>
      <c r="Q49" s="146"/>
      <c r="R49" s="146"/>
      <c r="S49" s="146"/>
      <c r="T49" s="146"/>
      <c r="U49" s="146"/>
      <c r="V49" s="146"/>
      <c r="W49" s="146"/>
      <c r="X49" s="146"/>
      <c r="Y49" s="146"/>
      <c r="Z49" s="146"/>
      <c r="AA49" s="146"/>
      <c r="AB49" s="146"/>
    </row>
    <row r="50" spans="2:28">
      <c r="B50" s="145"/>
      <c r="C50" s="145"/>
      <c r="D50" s="145"/>
      <c r="E50" s="145"/>
      <c r="F50" s="145"/>
      <c r="G50" s="145"/>
      <c r="H50" s="145"/>
      <c r="I50" s="145"/>
      <c r="J50" s="145"/>
      <c r="K50" s="145"/>
      <c r="L50" s="145"/>
      <c r="M50" s="145"/>
      <c r="N50" s="145"/>
      <c r="P50" s="146"/>
      <c r="Q50" s="146"/>
      <c r="R50" s="146"/>
      <c r="S50" s="146"/>
      <c r="T50" s="146"/>
      <c r="U50" s="146"/>
      <c r="V50" s="146"/>
      <c r="W50" s="146"/>
      <c r="X50" s="146"/>
      <c r="Y50" s="146"/>
      <c r="Z50" s="146"/>
      <c r="AA50" s="146"/>
      <c r="AB50" s="146"/>
    </row>
    <row r="51" spans="2:28">
      <c r="B51" s="145"/>
      <c r="C51" s="145"/>
      <c r="D51" s="145"/>
      <c r="E51" s="145"/>
      <c r="F51" s="145"/>
      <c r="G51" s="145"/>
      <c r="H51" s="145"/>
      <c r="I51" s="145"/>
      <c r="J51" s="145"/>
      <c r="K51" s="145"/>
      <c r="L51" s="145"/>
      <c r="M51" s="145"/>
      <c r="N51" s="145"/>
      <c r="P51" s="146"/>
      <c r="Q51" s="146"/>
      <c r="R51" s="146"/>
      <c r="S51" s="146"/>
      <c r="T51" s="146"/>
      <c r="U51" s="146"/>
      <c r="V51" s="146"/>
      <c r="W51" s="146"/>
      <c r="X51" s="146"/>
      <c r="Y51" s="146"/>
      <c r="Z51" s="146"/>
      <c r="AA51" s="146"/>
      <c r="AB51" s="146"/>
    </row>
    <row r="52" spans="2:28">
      <c r="B52" s="145"/>
      <c r="C52" s="145"/>
      <c r="D52" s="145"/>
      <c r="E52" s="145"/>
      <c r="F52" s="145"/>
      <c r="G52" s="145"/>
      <c r="H52" s="145"/>
      <c r="I52" s="145"/>
      <c r="J52" s="145"/>
      <c r="K52" s="145"/>
      <c r="L52" s="145"/>
      <c r="M52" s="145"/>
      <c r="N52" s="145"/>
      <c r="P52" s="146"/>
      <c r="Q52" s="146"/>
      <c r="R52" s="146"/>
      <c r="S52" s="146"/>
      <c r="T52" s="146"/>
      <c r="U52" s="146"/>
      <c r="V52" s="146"/>
      <c r="W52" s="146"/>
      <c r="X52" s="146"/>
      <c r="Y52" s="146"/>
      <c r="Z52" s="146"/>
      <c r="AA52" s="146"/>
      <c r="AB52" s="146"/>
    </row>
    <row r="53" spans="2:28">
      <c r="B53" s="145"/>
      <c r="C53" s="145"/>
      <c r="D53" s="145"/>
      <c r="E53" s="145"/>
      <c r="F53" s="145"/>
      <c r="G53" s="145"/>
      <c r="H53" s="145"/>
      <c r="I53" s="145"/>
      <c r="J53" s="145"/>
      <c r="K53" s="145"/>
      <c r="L53" s="145"/>
      <c r="M53" s="145"/>
      <c r="N53" s="145"/>
      <c r="P53" s="146"/>
      <c r="Q53" s="146"/>
      <c r="R53" s="146"/>
      <c r="S53" s="146"/>
      <c r="T53" s="146"/>
      <c r="U53" s="146"/>
      <c r="V53" s="146"/>
      <c r="W53" s="146"/>
      <c r="X53" s="146"/>
      <c r="Y53" s="146"/>
      <c r="Z53" s="146"/>
      <c r="AA53" s="146"/>
      <c r="AB53" s="146"/>
    </row>
    <row r="54" spans="2:28">
      <c r="B54" s="145"/>
      <c r="C54" s="145"/>
      <c r="D54" s="145"/>
      <c r="E54" s="145"/>
      <c r="F54" s="145"/>
      <c r="G54" s="145"/>
      <c r="H54" s="145"/>
      <c r="I54" s="145"/>
      <c r="J54" s="145"/>
      <c r="K54" s="145"/>
      <c r="L54" s="145"/>
      <c r="M54" s="145"/>
      <c r="N54" s="145"/>
      <c r="P54" s="146"/>
      <c r="Q54" s="146"/>
      <c r="R54" s="146"/>
      <c r="S54" s="146"/>
      <c r="T54" s="146"/>
      <c r="U54" s="146"/>
      <c r="V54" s="146"/>
      <c r="W54" s="146"/>
      <c r="X54" s="146"/>
      <c r="Y54" s="146"/>
      <c r="Z54" s="146"/>
      <c r="AA54" s="146"/>
      <c r="AB54" s="146"/>
    </row>
    <row r="55" spans="2:28">
      <c r="B55" s="145"/>
      <c r="C55" s="145"/>
      <c r="D55" s="145"/>
      <c r="E55" s="145"/>
      <c r="F55" s="145"/>
      <c r="G55" s="145"/>
      <c r="H55" s="145"/>
      <c r="I55" s="145"/>
      <c r="J55" s="145"/>
      <c r="K55" s="145"/>
      <c r="L55" s="145"/>
      <c r="M55" s="145"/>
      <c r="N55" s="145"/>
      <c r="P55" s="146"/>
      <c r="Q55" s="146"/>
      <c r="R55" s="146"/>
      <c r="S55" s="146"/>
      <c r="T55" s="146"/>
      <c r="U55" s="146"/>
      <c r="V55" s="146"/>
      <c r="W55" s="146"/>
      <c r="X55" s="146"/>
      <c r="Y55" s="146"/>
      <c r="Z55" s="146"/>
      <c r="AA55" s="146"/>
      <c r="AB55" s="146"/>
    </row>
    <row r="56" spans="2:28">
      <c r="B56" s="145"/>
      <c r="C56" s="145"/>
      <c r="D56" s="275"/>
      <c r="E56" s="276"/>
      <c r="F56" s="275"/>
      <c r="G56" s="145"/>
      <c r="H56" s="145"/>
      <c r="I56" s="145"/>
      <c r="J56" s="145"/>
      <c r="K56" s="145"/>
      <c r="L56" s="145"/>
      <c r="M56" s="145"/>
      <c r="N56" s="145"/>
      <c r="P56" s="146"/>
      <c r="Q56" s="146"/>
      <c r="R56" s="146"/>
      <c r="S56" s="146"/>
      <c r="T56" s="146"/>
      <c r="U56" s="277"/>
      <c r="V56" s="277"/>
      <c r="W56" s="277"/>
      <c r="X56" s="277"/>
      <c r="Y56" s="277"/>
      <c r="Z56" s="277"/>
      <c r="AA56" s="146"/>
      <c r="AB56" s="146"/>
    </row>
    <row r="57" spans="2:28">
      <c r="B57" s="145"/>
      <c r="C57" s="145"/>
      <c r="D57" s="275"/>
      <c r="E57" s="276"/>
      <c r="F57" s="275"/>
      <c r="G57" s="145"/>
      <c r="H57" s="145"/>
      <c r="I57" s="145"/>
      <c r="J57" s="145"/>
      <c r="K57" s="145"/>
      <c r="L57" s="145"/>
      <c r="M57" s="145"/>
      <c r="N57" s="145"/>
      <c r="P57" s="146"/>
      <c r="Q57" s="146"/>
      <c r="R57" s="146"/>
      <c r="S57" s="146"/>
      <c r="T57" s="146"/>
      <c r="U57" s="277"/>
      <c r="V57" s="277"/>
      <c r="W57" s="277"/>
      <c r="X57" s="277"/>
      <c r="Y57" s="277"/>
      <c r="Z57" s="277"/>
      <c r="AA57" s="146"/>
      <c r="AB57" s="146"/>
    </row>
    <row r="58" spans="2:28">
      <c r="B58" s="145"/>
      <c r="C58" s="145"/>
      <c r="D58" s="275"/>
      <c r="E58" s="276"/>
      <c r="F58" s="275"/>
      <c r="G58" s="145"/>
      <c r="H58" s="145"/>
      <c r="I58" s="145"/>
      <c r="J58" s="145"/>
      <c r="K58" s="145"/>
      <c r="L58" s="145"/>
      <c r="M58" s="145"/>
      <c r="N58" s="145"/>
      <c r="P58" s="146"/>
      <c r="Q58" s="146"/>
      <c r="R58" s="146"/>
      <c r="S58" s="146"/>
      <c r="T58" s="146"/>
      <c r="U58" s="277"/>
      <c r="V58" s="277"/>
      <c r="W58" s="277"/>
      <c r="X58" s="277"/>
      <c r="Y58" s="277"/>
      <c r="Z58" s="277"/>
      <c r="AA58" s="146"/>
      <c r="AB58" s="146"/>
    </row>
    <row r="59" spans="2:28">
      <c r="B59" s="145"/>
      <c r="C59" s="145"/>
      <c r="D59" s="275"/>
      <c r="E59" s="276"/>
      <c r="F59" s="275"/>
      <c r="G59" s="145"/>
      <c r="H59" s="145"/>
      <c r="I59" s="145"/>
      <c r="J59" s="145"/>
      <c r="K59" s="145"/>
      <c r="L59" s="145"/>
      <c r="M59" s="145"/>
      <c r="N59" s="145"/>
      <c r="P59" s="146"/>
      <c r="Q59" s="146"/>
      <c r="R59" s="146"/>
      <c r="S59" s="146"/>
      <c r="T59" s="146"/>
      <c r="U59" s="277"/>
      <c r="V59" s="277"/>
      <c r="W59" s="277"/>
      <c r="X59" s="277"/>
      <c r="Y59" s="277"/>
      <c r="Z59" s="277"/>
      <c r="AA59" s="146"/>
      <c r="AB59" s="146"/>
    </row>
    <row r="60" spans="2:28">
      <c r="B60" s="145"/>
      <c r="C60" s="145"/>
      <c r="D60" s="275"/>
      <c r="E60" s="276"/>
      <c r="F60" s="275"/>
      <c r="G60" s="145"/>
      <c r="H60" s="145"/>
      <c r="I60" s="145"/>
      <c r="J60" s="145"/>
      <c r="K60" s="145"/>
      <c r="L60" s="145"/>
      <c r="M60" s="145"/>
      <c r="N60" s="145"/>
      <c r="P60" s="146"/>
      <c r="Q60" s="146"/>
      <c r="R60" s="146"/>
      <c r="S60" s="146"/>
      <c r="T60" s="146"/>
      <c r="U60" s="277"/>
      <c r="V60" s="277"/>
      <c r="W60" s="277"/>
      <c r="X60" s="277"/>
      <c r="Y60" s="277"/>
      <c r="Z60" s="277"/>
      <c r="AA60" s="146"/>
      <c r="AB60" s="146"/>
    </row>
    <row r="61" spans="2:28">
      <c r="B61" s="145"/>
      <c r="C61" s="145"/>
      <c r="D61" s="275"/>
      <c r="E61" s="276"/>
      <c r="F61" s="275"/>
      <c r="G61" s="145"/>
      <c r="H61" s="145"/>
      <c r="I61" s="145"/>
      <c r="J61" s="145"/>
      <c r="K61" s="145"/>
      <c r="L61" s="145"/>
      <c r="M61" s="145"/>
      <c r="N61" s="145"/>
      <c r="P61" s="146"/>
      <c r="Q61" s="146"/>
      <c r="R61" s="146"/>
      <c r="S61" s="146"/>
      <c r="T61" s="146"/>
      <c r="U61" s="277"/>
      <c r="V61" s="277"/>
      <c r="W61" s="277"/>
      <c r="X61" s="277"/>
      <c r="Y61" s="277"/>
      <c r="Z61" s="277"/>
      <c r="AA61" s="146"/>
      <c r="AB61" s="146"/>
    </row>
    <row r="62" spans="2:28">
      <c r="B62" s="145"/>
      <c r="C62" s="145"/>
      <c r="D62" s="275"/>
      <c r="E62" s="276"/>
      <c r="F62" s="275"/>
      <c r="G62" s="145"/>
      <c r="H62" s="145"/>
      <c r="I62" s="145"/>
      <c r="J62" s="145"/>
      <c r="K62" s="145"/>
      <c r="L62" s="145"/>
      <c r="M62" s="145"/>
      <c r="N62" s="145"/>
      <c r="P62" s="146"/>
      <c r="Q62" s="146"/>
      <c r="R62" s="146"/>
      <c r="S62" s="146"/>
      <c r="T62" s="146"/>
      <c r="U62" s="277"/>
      <c r="V62" s="277"/>
      <c r="W62" s="277"/>
      <c r="X62" s="277"/>
      <c r="Y62" s="277"/>
      <c r="Z62" s="277"/>
      <c r="AA62" s="146"/>
      <c r="AB62" s="146"/>
    </row>
    <row r="63" spans="2:28">
      <c r="B63" s="145"/>
      <c r="C63" s="145"/>
      <c r="D63" s="275"/>
      <c r="E63" s="276"/>
      <c r="F63" s="275"/>
      <c r="G63" s="145"/>
      <c r="H63" s="145"/>
      <c r="I63" s="145"/>
      <c r="J63" s="145"/>
      <c r="K63" s="145"/>
      <c r="L63" s="145"/>
      <c r="M63" s="145"/>
      <c r="N63" s="145"/>
      <c r="P63" s="146"/>
      <c r="Q63" s="146"/>
      <c r="R63" s="146"/>
      <c r="S63" s="146"/>
      <c r="T63" s="146"/>
      <c r="U63" s="277"/>
      <c r="V63" s="277"/>
      <c r="W63" s="277"/>
      <c r="X63" s="277"/>
      <c r="Y63" s="277"/>
      <c r="Z63" s="277"/>
      <c r="AA63" s="146"/>
      <c r="AB63" s="146"/>
    </row>
    <row r="64" spans="2:28">
      <c r="B64" s="145"/>
      <c r="C64" s="145"/>
      <c r="D64" s="275"/>
      <c r="E64" s="276"/>
      <c r="F64" s="275"/>
      <c r="G64" s="145"/>
      <c r="H64" s="145"/>
      <c r="I64" s="145"/>
      <c r="J64" s="145"/>
      <c r="K64" s="145"/>
      <c r="L64" s="145"/>
      <c r="M64" s="145"/>
      <c r="N64" s="145"/>
      <c r="P64" s="146"/>
      <c r="Q64" s="146"/>
      <c r="R64" s="146"/>
      <c r="S64" s="146"/>
      <c r="T64" s="146"/>
      <c r="U64" s="277"/>
      <c r="V64" s="277"/>
      <c r="W64" s="277"/>
      <c r="X64" s="277"/>
      <c r="Y64" s="277"/>
      <c r="Z64" s="277"/>
      <c r="AA64" s="146"/>
      <c r="AB64" s="146"/>
    </row>
    <row r="65" spans="2:28">
      <c r="B65" s="145"/>
      <c r="C65" s="145"/>
      <c r="D65" s="275"/>
      <c r="E65" s="276"/>
      <c r="F65" s="275"/>
      <c r="G65" s="145"/>
      <c r="H65" s="145"/>
      <c r="I65" s="145"/>
      <c r="J65" s="145"/>
      <c r="K65" s="145"/>
      <c r="L65" s="145"/>
      <c r="M65" s="145"/>
      <c r="N65" s="145"/>
      <c r="P65" s="146"/>
      <c r="Q65" s="146"/>
      <c r="R65" s="146"/>
      <c r="S65" s="146"/>
      <c r="T65" s="146"/>
      <c r="U65" s="277"/>
      <c r="V65" s="277"/>
      <c r="W65" s="277"/>
      <c r="X65" s="277"/>
      <c r="Y65" s="277"/>
      <c r="Z65" s="277"/>
      <c r="AA65" s="146"/>
      <c r="AB65" s="146"/>
    </row>
    <row r="66" spans="2:28">
      <c r="B66" s="145"/>
      <c r="C66" s="145"/>
      <c r="D66" s="275"/>
      <c r="E66" s="276"/>
      <c r="F66" s="275"/>
      <c r="G66" s="145"/>
      <c r="H66" s="145"/>
      <c r="I66" s="145"/>
      <c r="J66" s="145"/>
      <c r="K66" s="145"/>
      <c r="L66" s="145"/>
      <c r="M66" s="145"/>
      <c r="N66" s="145"/>
      <c r="P66" s="146"/>
      <c r="Q66" s="146"/>
      <c r="R66" s="146"/>
      <c r="S66" s="146"/>
      <c r="T66" s="146"/>
      <c r="U66" s="277"/>
      <c r="V66" s="277"/>
      <c r="W66" s="277"/>
      <c r="X66" s="277"/>
      <c r="Y66" s="277"/>
      <c r="Z66" s="277"/>
      <c r="AA66" s="146"/>
      <c r="AB66" s="146"/>
    </row>
    <row r="67" spans="2:28">
      <c r="B67" s="145"/>
      <c r="C67" s="145"/>
      <c r="D67" s="275"/>
      <c r="E67" s="276"/>
      <c r="F67" s="275"/>
      <c r="G67" s="145"/>
      <c r="H67" s="145"/>
      <c r="I67" s="145"/>
      <c r="J67" s="145"/>
      <c r="K67" s="145"/>
      <c r="L67" s="145"/>
      <c r="M67" s="145"/>
      <c r="N67" s="145"/>
      <c r="P67" s="146"/>
      <c r="Q67" s="146"/>
      <c r="R67" s="146"/>
      <c r="S67" s="146"/>
      <c r="T67" s="146"/>
      <c r="U67" s="277"/>
      <c r="V67" s="277"/>
      <c r="W67" s="277"/>
      <c r="X67" s="277"/>
      <c r="Y67" s="277"/>
      <c r="Z67" s="277"/>
      <c r="AA67" s="146"/>
      <c r="AB67" s="146"/>
    </row>
    <row r="68" spans="2:28">
      <c r="B68" s="145"/>
      <c r="C68" s="145"/>
      <c r="D68" s="275"/>
      <c r="E68" s="276"/>
      <c r="F68" s="275"/>
      <c r="G68" s="145"/>
      <c r="H68" s="145"/>
      <c r="I68" s="145"/>
      <c r="J68" s="145"/>
      <c r="K68" s="145"/>
      <c r="L68" s="145"/>
      <c r="M68" s="145"/>
      <c r="N68" s="145"/>
      <c r="P68" s="146"/>
      <c r="Q68" s="146"/>
      <c r="R68" s="146"/>
      <c r="S68" s="146"/>
      <c r="T68" s="146"/>
      <c r="U68" s="277"/>
      <c r="V68" s="277"/>
      <c r="W68" s="277"/>
      <c r="X68" s="277"/>
      <c r="Y68" s="277"/>
      <c r="Z68" s="277"/>
      <c r="AA68" s="146"/>
      <c r="AB68" s="146"/>
    </row>
    <row r="69" spans="2:28">
      <c r="B69" s="145"/>
      <c r="C69" s="145"/>
      <c r="D69" s="275"/>
      <c r="E69" s="276"/>
      <c r="F69" s="275"/>
      <c r="G69" s="145"/>
      <c r="H69" s="145"/>
      <c r="I69" s="145"/>
      <c r="J69" s="145"/>
      <c r="K69" s="145"/>
      <c r="L69" s="145"/>
      <c r="M69" s="145"/>
      <c r="N69" s="145"/>
      <c r="P69" s="146"/>
      <c r="Q69" s="146"/>
      <c r="R69" s="146"/>
      <c r="S69" s="146"/>
      <c r="T69" s="278"/>
      <c r="U69" s="277"/>
      <c r="V69" s="277"/>
      <c r="W69" s="277"/>
      <c r="X69" s="277"/>
      <c r="Y69" s="277"/>
      <c r="Z69" s="277"/>
      <c r="AA69" s="146"/>
      <c r="AB69" s="146"/>
    </row>
    <row r="70" spans="2:28">
      <c r="B70" s="145"/>
      <c r="C70" s="145"/>
      <c r="D70" s="275"/>
      <c r="E70" s="276"/>
      <c r="F70" s="275"/>
      <c r="G70" s="145"/>
      <c r="H70" s="145"/>
      <c r="I70" s="145"/>
      <c r="J70" s="145"/>
      <c r="K70" s="145"/>
      <c r="L70" s="145"/>
      <c r="M70" s="145"/>
      <c r="N70" s="145"/>
      <c r="P70" s="146"/>
      <c r="Q70" s="146"/>
      <c r="R70" s="146"/>
      <c r="S70" s="146"/>
      <c r="T70" s="278"/>
      <c r="U70" s="277"/>
      <c r="V70" s="277"/>
      <c r="W70" s="277"/>
      <c r="X70" s="277"/>
      <c r="Y70" s="277"/>
      <c r="Z70" s="277"/>
      <c r="AA70" s="146"/>
      <c r="AB70" s="146"/>
    </row>
    <row r="71" spans="2:28">
      <c r="B71" s="145"/>
      <c r="C71" s="145"/>
      <c r="D71" s="275"/>
      <c r="E71" s="276"/>
      <c r="F71" s="275"/>
      <c r="G71" s="145"/>
      <c r="H71" s="145"/>
      <c r="I71" s="145"/>
      <c r="J71" s="145"/>
      <c r="K71" s="145"/>
      <c r="L71" s="145"/>
      <c r="M71" s="145"/>
      <c r="N71" s="145"/>
      <c r="P71" s="146"/>
      <c r="Q71" s="146"/>
      <c r="R71" s="146"/>
      <c r="S71" s="146"/>
      <c r="T71" s="278"/>
      <c r="U71" s="277"/>
      <c r="V71" s="277"/>
      <c r="W71" s="277"/>
      <c r="X71" s="277"/>
      <c r="Y71" s="277"/>
      <c r="Z71" s="277"/>
      <c r="AA71" s="146"/>
      <c r="AB71" s="146"/>
    </row>
    <row r="72" spans="2:28">
      <c r="B72" s="145"/>
      <c r="C72" s="145"/>
      <c r="D72" s="275"/>
      <c r="E72" s="276"/>
      <c r="F72" s="275"/>
      <c r="G72" s="145"/>
      <c r="H72" s="145"/>
      <c r="I72" s="145"/>
      <c r="J72" s="145"/>
      <c r="K72" s="145"/>
      <c r="L72" s="145"/>
      <c r="M72" s="145"/>
      <c r="N72" s="145"/>
      <c r="P72" s="146"/>
      <c r="Q72" s="146"/>
      <c r="R72" s="146"/>
      <c r="S72" s="146"/>
      <c r="T72" s="278"/>
      <c r="U72" s="277"/>
      <c r="V72" s="277"/>
      <c r="W72" s="277"/>
      <c r="X72" s="277"/>
      <c r="Y72" s="277"/>
      <c r="Z72" s="277"/>
      <c r="AA72" s="146"/>
      <c r="AB72" s="146"/>
    </row>
    <row r="73" spans="2:28" ht="15.75">
      <c r="B73" s="145"/>
      <c r="C73" s="977" t="s">
        <v>342</v>
      </c>
      <c r="D73" s="977"/>
      <c r="E73" s="282"/>
      <c r="F73" s="977" t="s">
        <v>343</v>
      </c>
      <c r="G73" s="977"/>
      <c r="H73" s="282"/>
      <c r="I73" s="977" t="s">
        <v>17</v>
      </c>
      <c r="J73" s="977"/>
      <c r="K73" s="282"/>
      <c r="L73" s="977" t="s">
        <v>344</v>
      </c>
      <c r="M73" s="977"/>
      <c r="N73" s="145"/>
      <c r="P73" s="146"/>
      <c r="Q73" s="963" t="s">
        <v>342</v>
      </c>
      <c r="R73" s="963"/>
      <c r="S73" s="279"/>
      <c r="T73" s="963" t="s">
        <v>343</v>
      </c>
      <c r="U73" s="963"/>
      <c r="V73" s="279"/>
      <c r="W73" s="963" t="s">
        <v>17</v>
      </c>
      <c r="X73" s="963"/>
      <c r="Y73" s="279"/>
      <c r="Z73" s="963" t="s">
        <v>344</v>
      </c>
      <c r="AA73" s="963"/>
      <c r="AB73" s="146"/>
    </row>
    <row r="74" spans="2:28">
      <c r="B74" s="145"/>
      <c r="C74" s="977" t="s">
        <v>279</v>
      </c>
      <c r="D74" s="977"/>
      <c r="E74" s="282"/>
      <c r="F74" s="977" t="s">
        <v>279</v>
      </c>
      <c r="G74" s="977"/>
      <c r="H74" s="282"/>
      <c r="I74" s="977" t="s">
        <v>279</v>
      </c>
      <c r="J74" s="977"/>
      <c r="K74" s="282"/>
      <c r="L74" s="977" t="s">
        <v>279</v>
      </c>
      <c r="M74" s="977"/>
      <c r="N74" s="145"/>
      <c r="P74" s="146"/>
      <c r="Q74" s="963" t="s">
        <v>280</v>
      </c>
      <c r="R74" s="963"/>
      <c r="S74" s="279"/>
      <c r="T74" s="963" t="s">
        <v>280</v>
      </c>
      <c r="U74" s="963"/>
      <c r="V74" s="279"/>
      <c r="W74" s="963" t="s">
        <v>280</v>
      </c>
      <c r="X74" s="963"/>
      <c r="Y74" s="279"/>
      <c r="Z74" s="963" t="s">
        <v>280</v>
      </c>
      <c r="AA74" s="963"/>
      <c r="AB74" s="146"/>
    </row>
    <row r="75" spans="2:28">
      <c r="B75" s="145"/>
      <c r="C75" s="283" t="s">
        <v>333</v>
      </c>
      <c r="D75" s="283" t="s">
        <v>3</v>
      </c>
      <c r="E75" s="284"/>
      <c r="F75" s="283" t="s">
        <v>333</v>
      </c>
      <c r="G75" s="283" t="s">
        <v>3</v>
      </c>
      <c r="H75" s="284"/>
      <c r="I75" s="283" t="s">
        <v>333</v>
      </c>
      <c r="J75" s="283" t="s">
        <v>3</v>
      </c>
      <c r="K75" s="284"/>
      <c r="L75" s="283" t="s">
        <v>333</v>
      </c>
      <c r="M75" s="283" t="s">
        <v>3</v>
      </c>
      <c r="N75" s="145"/>
      <c r="P75" s="146"/>
      <c r="Q75" s="280" t="s">
        <v>333</v>
      </c>
      <c r="R75" s="280" t="s">
        <v>3</v>
      </c>
      <c r="S75" s="281"/>
      <c r="T75" s="280" t="s">
        <v>333</v>
      </c>
      <c r="U75" s="280" t="s">
        <v>3</v>
      </c>
      <c r="V75" s="281"/>
      <c r="W75" s="280" t="s">
        <v>333</v>
      </c>
      <c r="X75" s="280" t="s">
        <v>3</v>
      </c>
      <c r="Y75" s="281"/>
      <c r="Z75" s="280" t="s">
        <v>333</v>
      </c>
      <c r="AA75" s="280" t="s">
        <v>3</v>
      </c>
      <c r="AB75" s="146"/>
    </row>
    <row r="76" spans="2:28">
      <c r="B76" s="145"/>
      <c r="C76" s="296">
        <v>0</v>
      </c>
      <c r="D76" s="296">
        <f>IF(C76&lt;='B.1 '!$G$24,'B.1 '!$H$24,IF(AND(C76&lt;='B.1 '!$G$23,C76&gt;'B.1 '!$G$24),0+(('B.1 '!$H$24-'B.1 '!$H$23)/('B.1 '!$G$24-'B.1 '!$G$23))*(C76-'B.1 '!$G$23),0))</f>
        <v>50</v>
      </c>
      <c r="E76" s="419"/>
      <c r="F76" s="296">
        <v>0</v>
      </c>
      <c r="G76" s="296">
        <f>IF(F76&lt;='B.1 '!$G$26,'B.1 '!$H$26,IF(AND(F76&lt;='B.1 '!$G$25,F76&gt;'B.1 '!$G$26),0+(('B.1 '!$H$26-'B.1 '!$H$25)/('B.1 '!$G$26-'B.1 '!$G$25))*(F76-'B.1 '!$G$25),0))</f>
        <v>45</v>
      </c>
      <c r="H76" s="419"/>
      <c r="I76" s="296">
        <v>0</v>
      </c>
      <c r="J76" s="296">
        <f>IF(I76&lt;='B.1 '!$G$28,'B.1 '!$H$28,IF(AND(I76&lt;='B.1 '!$G$27,I76&gt;'B.1 '!$G$28),0+(('B.1 '!$H$28-'B.1 '!$H$27)/('B.1 '!$G$28-'B.1 '!$G$27))*(I76-'B.1 '!$G$27),0))</f>
        <v>120</v>
      </c>
      <c r="K76" s="419"/>
      <c r="L76" s="296">
        <v>0</v>
      </c>
      <c r="M76" s="296">
        <f>IF(L76&lt;='B.1 '!$G$30,'B.1 '!$H$30,IF(AND(L76&lt;='B.1 '!$G$29,L76&gt;'B.1 '!$G$30),0+(('B.1 '!$H$30-'B.1 '!$H$29)/('B.1 '!$G$30-'B.1 '!$G$29))*(L76-'B.1 '!$G$29),0))</f>
        <v>135</v>
      </c>
      <c r="N76" s="276"/>
      <c r="O76" s="295"/>
      <c r="P76" s="420"/>
      <c r="Q76" s="297">
        <v>0</v>
      </c>
      <c r="R76" s="297">
        <f>IF(Q76&lt;='B.1 '!$L$24,'B.1 '!$M$24,IF(AND(Q76&lt;='B.1 '!$L$23,Q76&gt;'B.1 '!$L$24),0+(('B.1 '!$M$24-'B.1 '!$M$23)/('B.1 '!$L$24-'B.1 '!$L$23))*(Q76-'B.1 '!$L$23),0))</f>
        <v>50</v>
      </c>
      <c r="S76" s="421"/>
      <c r="T76" s="297">
        <v>0</v>
      </c>
      <c r="U76" s="297">
        <f>IF(T76&lt;='B.1 '!$L$26,'B.1 '!$M$26,IF(AND(T76&lt;='B.1 '!$L$25,T76&gt;'B.1 '!$L$26),0+(('B.1 '!$M$26-'B.1 '!$M$25)/('B.1 '!$L$26-'B.1 '!$L$25))*(T76-'B.1 '!$L$25),0))</f>
        <v>45</v>
      </c>
      <c r="V76" s="421"/>
      <c r="W76" s="297">
        <v>0</v>
      </c>
      <c r="X76" s="297">
        <f>IF(W76&lt;='B.1 '!$L$28,'B.1 '!$M$28,IF(AND(W76&lt;='B.1 '!$L$27,W76&gt;'B.1 '!$L$28),0+(('B.1 '!$M$28-'B.1 '!$M$27)/('B.1 '!$L$28-'B.1 '!$L$27))*(W76-'B.1 '!$L$27),0))</f>
        <v>120</v>
      </c>
      <c r="Y76" s="421"/>
      <c r="Z76" s="297">
        <v>0</v>
      </c>
      <c r="AA76" s="297">
        <f>IF(Z76&lt;='B.1 '!$L$30,'B.1 '!$M$30,IF(AND(Z76&lt;='B.1 '!$L$29,Z76&gt;'B.1 '!$L$30),0+(('B.1 '!$M$30-'B.1 '!$M$29)/('B.1 '!$L$30-'B.1 '!$L$29))*(Z76-'B.1 '!$L$29),0))</f>
        <v>135</v>
      </c>
      <c r="AB76" s="146"/>
    </row>
    <row r="77" spans="2:28">
      <c r="B77" s="145"/>
      <c r="C77" s="296">
        <v>2.5</v>
      </c>
      <c r="D77" s="296">
        <f>IF(C77&lt;='B.1 '!$G$24,'B.1 '!$H$24,IF(AND(C77&lt;='B.1 '!$G$23,C77&gt;'B.1 '!$G$24),0+(('B.1 '!$H$24-'B.1 '!$H$23)/('B.1 '!$G$24-'B.1 '!$G$23))*(C77-'B.1 '!$G$23),0))</f>
        <v>50</v>
      </c>
      <c r="E77" s="419"/>
      <c r="F77" s="296">
        <v>0.5</v>
      </c>
      <c r="G77" s="296">
        <f>IF(F77&lt;='B.1 '!$G$26,'B.1 '!$H$26,IF(AND(F77&lt;='B.1 '!$G$25,F77&gt;'B.1 '!$G$26),0+(('B.1 '!$H$26-'B.1 '!$H$25)/('B.1 '!$G$26-'B.1 '!$G$25))*(F77-'B.1 '!$G$25),0))</f>
        <v>40.5</v>
      </c>
      <c r="H77" s="419"/>
      <c r="I77" s="296">
        <v>5</v>
      </c>
      <c r="J77" s="296">
        <f>IF(I77&lt;='B.1 '!$G$28,'B.1 '!$H$28,IF(AND(I77&lt;='B.1 '!$G$27,I77&gt;'B.1 '!$G$28),0+(('B.1 '!$H$28-'B.1 '!$H$27)/('B.1 '!$G$28-'B.1 '!$G$27))*(I77-'B.1 '!$G$27),0))</f>
        <v>120</v>
      </c>
      <c r="K77" s="419"/>
      <c r="L77" s="296">
        <v>0.5</v>
      </c>
      <c r="M77" s="296">
        <f>IF(L77&lt;='B.1 '!$G$30,'B.1 '!$H$30,IF(AND(L77&lt;='B.1 '!$G$29,L77&gt;'B.1 '!$G$30),0+(('B.1 '!$H$30-'B.1 '!$H$29)/('B.1 '!$G$30-'B.1 '!$G$29))*(L77-'B.1 '!$G$29),0))</f>
        <v>135</v>
      </c>
      <c r="N77" s="276"/>
      <c r="O77" s="295"/>
      <c r="P77" s="420"/>
      <c r="Q77" s="297">
        <v>1</v>
      </c>
      <c r="R77" s="297">
        <f>IF(Q77&lt;='B.1 '!$L$24,'B.1 '!$M$24,IF(AND(Q77&lt;='B.1 '!$L$23,Q77&gt;'B.1 '!$L$24),0+(('B.1 '!$M$24-'B.1 '!$M$23)/('B.1 '!$L$24-'B.1 '!$L$23))*(Q77-'B.1 '!$L$23),0))</f>
        <v>50</v>
      </c>
      <c r="S77" s="421"/>
      <c r="T77" s="297">
        <v>0.5</v>
      </c>
      <c r="U77" s="297">
        <f>IF(T77&lt;='B.1 '!$L$26,'B.1 '!$M$26,IF(AND(T77&lt;='B.1 '!$L$25,T77&gt;'B.1 '!$L$26),0+(('B.1 '!$M$26-'B.1 '!$M$25)/('B.1 '!$L$26-'B.1 '!$L$25))*(T77-'B.1 '!$L$25),0))</f>
        <v>45</v>
      </c>
      <c r="V77" s="421"/>
      <c r="W77" s="297">
        <v>5</v>
      </c>
      <c r="X77" s="297">
        <f>IF(W77&lt;='B.1 '!$L$28,'B.1 '!$M$28,IF(AND(W77&lt;='B.1 '!$L$27,W77&gt;'B.1 '!$L$28),0+(('B.1 '!$M$28-'B.1 '!$M$27)/('B.1 '!$L$28-'B.1 '!$L$27))*(W77-'B.1 '!$L$27),0))</f>
        <v>120</v>
      </c>
      <c r="Y77" s="421"/>
      <c r="Z77" s="297">
        <v>0.5</v>
      </c>
      <c r="AA77" s="297">
        <f>IF(Z77&lt;='B.1 '!$L$30,'B.1 '!$M$30,IF(AND(Z77&lt;='B.1 '!$L$29,Z77&gt;'B.1 '!$L$30),0+(('B.1 '!$M$30-'B.1 '!$M$29)/('B.1 '!$L$30-'B.1 '!$L$29))*(Z77-'B.1 '!$L$29),0))</f>
        <v>135</v>
      </c>
      <c r="AB77" s="146"/>
    </row>
    <row r="78" spans="2:28">
      <c r="B78" s="145"/>
      <c r="C78" s="296">
        <v>5</v>
      </c>
      <c r="D78" s="296">
        <f>IF(C78&lt;='B.1 '!$G$24,'B.1 '!$H$24,IF(AND(C78&lt;='B.1 '!$G$23,C78&gt;'B.1 '!$G$24),0+(('B.1 '!$H$24-'B.1 '!$H$23)/('B.1 '!$G$24-'B.1 '!$G$23))*(C78-'B.1 '!$G$23),0))</f>
        <v>50</v>
      </c>
      <c r="E78" s="419"/>
      <c r="F78" s="296">
        <v>1</v>
      </c>
      <c r="G78" s="296">
        <f>IF(F78&lt;='B.1 '!$G$26,'B.1 '!$H$26,IF(AND(F78&lt;='B.1 '!$G$25,F78&gt;'B.1 '!$G$26),0+(('B.1 '!$H$26-'B.1 '!$H$25)/('B.1 '!$G$26-'B.1 '!$G$25))*(F78-'B.1 '!$G$25),0))</f>
        <v>36</v>
      </c>
      <c r="H78" s="419"/>
      <c r="I78" s="296">
        <v>10</v>
      </c>
      <c r="J78" s="296">
        <f>IF(I78&lt;='B.1 '!$G$28,'B.1 '!$H$28,IF(AND(I78&lt;='B.1 '!$G$27,I78&gt;'B.1 '!$G$28),0+(('B.1 '!$H$28-'B.1 '!$H$27)/('B.1 '!$G$28-'B.1 '!$G$27))*(I78-'B.1 '!$G$27),0))</f>
        <v>120</v>
      </c>
      <c r="K78" s="419"/>
      <c r="L78" s="296">
        <v>1</v>
      </c>
      <c r="M78" s="296">
        <f>IF(L78&lt;='B.1 '!$G$30,'B.1 '!$H$30,IF(AND(L78&lt;='B.1 '!$G$29,L78&gt;'B.1 '!$G$30),0+(('B.1 '!$H$30-'B.1 '!$H$29)/('B.1 '!$G$30-'B.1 '!$G$29))*(L78-'B.1 '!$G$29),0))</f>
        <v>135</v>
      </c>
      <c r="N78" s="276"/>
      <c r="O78" s="295"/>
      <c r="P78" s="420"/>
      <c r="Q78" s="297">
        <v>2</v>
      </c>
      <c r="R78" s="297">
        <f>IF(Q78&lt;='B.1 '!$L$24,'B.1 '!$M$24,IF(AND(Q78&lt;='B.1 '!$L$23,Q78&gt;'B.1 '!$L$24),0+(('B.1 '!$M$24-'B.1 '!$M$23)/('B.1 '!$L$24-'B.1 '!$L$23))*(Q78-'B.1 '!$L$23),0))</f>
        <v>50</v>
      </c>
      <c r="S78" s="421"/>
      <c r="T78" s="297">
        <v>1</v>
      </c>
      <c r="U78" s="297">
        <f>IF(T78&lt;='B.1 '!$L$26,'B.1 '!$M$26,IF(AND(T78&lt;='B.1 '!$L$25,T78&gt;'B.1 '!$L$26),0+(('B.1 '!$M$26-'B.1 '!$M$25)/('B.1 '!$L$26-'B.1 '!$L$25))*(T78-'B.1 '!$L$25),0))</f>
        <v>45</v>
      </c>
      <c r="V78" s="421"/>
      <c r="W78" s="297">
        <v>10</v>
      </c>
      <c r="X78" s="297">
        <f>IF(W78&lt;='B.1 '!$L$28,'B.1 '!$M$28,IF(AND(W78&lt;='B.1 '!$L$27,W78&gt;'B.1 '!$L$28),0+(('B.1 '!$M$28-'B.1 '!$M$27)/('B.1 '!$L$28-'B.1 '!$L$27))*(W78-'B.1 '!$L$27),0))</f>
        <v>120</v>
      </c>
      <c r="Y78" s="421"/>
      <c r="Z78" s="297">
        <v>1</v>
      </c>
      <c r="AA78" s="297">
        <f>IF(Z78&lt;='B.1 '!$L$30,'B.1 '!$M$30,IF(AND(Z78&lt;='B.1 '!$L$29,Z78&gt;'B.1 '!$L$30),0+(('B.1 '!$M$30-'B.1 '!$M$29)/('B.1 '!$L$30-'B.1 '!$L$29))*(Z78-'B.1 '!$L$29),0))</f>
        <v>135</v>
      </c>
      <c r="AB78" s="146"/>
    </row>
    <row r="79" spans="2:28">
      <c r="B79" s="145"/>
      <c r="C79" s="296">
        <v>7.5</v>
      </c>
      <c r="D79" s="296">
        <f>IF(C79&lt;='B.1 '!$G$24,'B.1 '!$H$24,IF(AND(C79&lt;='B.1 '!$G$23,C79&gt;'B.1 '!$G$24),0+(('B.1 '!$H$24-'B.1 '!$H$23)/('B.1 '!$G$24-'B.1 '!$G$23))*(C79-'B.1 '!$G$23),0))</f>
        <v>50</v>
      </c>
      <c r="E79" s="419"/>
      <c r="F79" s="296">
        <v>1.5</v>
      </c>
      <c r="G79" s="296">
        <f>IF(F79&lt;='B.1 '!$G$26,'B.1 '!$H$26,IF(AND(F79&lt;='B.1 '!$G$25,F79&gt;'B.1 '!$G$26),0+(('B.1 '!$H$26-'B.1 '!$H$25)/('B.1 '!$G$26-'B.1 '!$G$25))*(F79-'B.1 '!$G$25),0))</f>
        <v>31.5</v>
      </c>
      <c r="H79" s="419"/>
      <c r="I79" s="296">
        <v>15</v>
      </c>
      <c r="J79" s="296">
        <f>IF(I79&lt;='B.1 '!$G$28,'B.1 '!$H$28,IF(AND(I79&lt;='B.1 '!$G$27,I79&gt;'B.1 '!$G$28),0+(('B.1 '!$H$28-'B.1 '!$H$27)/('B.1 '!$G$28-'B.1 '!$G$27))*(I79-'B.1 '!$G$27),0))</f>
        <v>120</v>
      </c>
      <c r="K79" s="419"/>
      <c r="L79" s="296">
        <v>1.5</v>
      </c>
      <c r="M79" s="296">
        <f>IF(L79&lt;='B.1 '!$G$30,'B.1 '!$H$30,IF(AND(L79&lt;='B.1 '!$G$29,L79&gt;'B.1 '!$G$30),0+(('B.1 '!$H$30-'B.1 '!$H$29)/('B.1 '!$G$30-'B.1 '!$G$29))*(L79-'B.1 '!$G$29),0))</f>
        <v>135</v>
      </c>
      <c r="N79" s="276"/>
      <c r="O79" s="295"/>
      <c r="P79" s="420"/>
      <c r="Q79" s="297">
        <v>3</v>
      </c>
      <c r="R79" s="297">
        <f>IF(Q79&lt;='B.1 '!$L$24,'B.1 '!$M$24,IF(AND(Q79&lt;='B.1 '!$L$23,Q79&gt;'B.1 '!$L$24),0+(('B.1 '!$M$24-'B.1 '!$M$23)/('B.1 '!$L$24-'B.1 '!$L$23))*(Q79-'B.1 '!$L$23),0))</f>
        <v>50</v>
      </c>
      <c r="S79" s="421"/>
      <c r="T79" s="297">
        <v>1.5</v>
      </c>
      <c r="U79" s="297">
        <f>IF(T79&lt;='B.1 '!$L$26,'B.1 '!$M$26,IF(AND(T79&lt;='B.1 '!$L$25,T79&gt;'B.1 '!$L$26),0+(('B.1 '!$M$26-'B.1 '!$M$25)/('B.1 '!$L$26-'B.1 '!$L$25))*(T79-'B.1 '!$L$25),0))</f>
        <v>45</v>
      </c>
      <c r="V79" s="421"/>
      <c r="W79" s="297">
        <v>15</v>
      </c>
      <c r="X79" s="297">
        <f>IF(W79&lt;='B.1 '!$L$28,'B.1 '!$M$28,IF(AND(W79&lt;='B.1 '!$L$27,W79&gt;'B.1 '!$L$28),0+(('B.1 '!$M$28-'B.1 '!$M$27)/('B.1 '!$L$28-'B.1 '!$L$27))*(W79-'B.1 '!$L$27),0))</f>
        <v>120</v>
      </c>
      <c r="Y79" s="421"/>
      <c r="Z79" s="297">
        <v>1.5</v>
      </c>
      <c r="AA79" s="297">
        <f>IF(Z79&lt;='B.1 '!$L$30,'B.1 '!$M$30,IF(AND(Z79&lt;='B.1 '!$L$29,Z79&gt;'B.1 '!$L$30),0+(('B.1 '!$M$30-'B.1 '!$M$29)/('B.1 '!$L$30-'B.1 '!$L$29))*(Z79-'B.1 '!$L$29),0))</f>
        <v>135</v>
      </c>
      <c r="AB79" s="146"/>
    </row>
    <row r="80" spans="2:28">
      <c r="B80" s="145"/>
      <c r="C80" s="296">
        <v>10</v>
      </c>
      <c r="D80" s="296">
        <f>IF(C80&lt;='B.1 '!$G$24,'B.1 '!$H$24,IF(AND(C80&lt;='B.1 '!$G$23,C80&gt;'B.1 '!$G$24),0+(('B.1 '!$H$24-'B.1 '!$H$23)/('B.1 '!$G$24-'B.1 '!$G$23))*(C80-'B.1 '!$G$23),0))</f>
        <v>50</v>
      </c>
      <c r="E80" s="419"/>
      <c r="F80" s="296">
        <v>2</v>
      </c>
      <c r="G80" s="296">
        <f>IF(F80&lt;='B.1 '!$G$26,'B.1 '!$H$26,IF(AND(F80&lt;='B.1 '!$G$25,F80&gt;'B.1 '!$G$26),0+(('B.1 '!$H$26-'B.1 '!$H$25)/('B.1 '!$G$26-'B.1 '!$G$25))*(F80-'B.1 '!$G$25),0))</f>
        <v>27</v>
      </c>
      <c r="H80" s="419"/>
      <c r="I80" s="296">
        <v>20</v>
      </c>
      <c r="J80" s="296">
        <f>IF(I80&lt;='B.1 '!$G$28,'B.1 '!$H$28,IF(AND(I80&lt;='B.1 '!$G$27,I80&gt;'B.1 '!$G$28),0+(('B.1 '!$H$28-'B.1 '!$H$27)/('B.1 '!$G$28-'B.1 '!$G$27))*(I80-'B.1 '!$G$27),0))</f>
        <v>120</v>
      </c>
      <c r="K80" s="419"/>
      <c r="L80" s="296">
        <v>2</v>
      </c>
      <c r="M80" s="296">
        <f>IF(L80&lt;='B.1 '!$G$30,'B.1 '!$H$30,IF(AND(L80&lt;='B.1 '!$G$29,L80&gt;'B.1 '!$G$30),0+(('B.1 '!$H$30-'B.1 '!$H$29)/('B.1 '!$G$30-'B.1 '!$G$29))*(L80-'B.1 '!$G$29),0))</f>
        <v>135</v>
      </c>
      <c r="N80" s="276"/>
      <c r="O80" s="295"/>
      <c r="P80" s="420"/>
      <c r="Q80" s="297">
        <v>4</v>
      </c>
      <c r="R80" s="297">
        <f>IF(Q80&lt;='B.1 '!$L$24,'B.1 '!$M$24,IF(AND(Q80&lt;='B.1 '!$L$23,Q80&gt;'B.1 '!$L$24),0+(('B.1 '!$M$24-'B.1 '!$M$23)/('B.1 '!$L$24-'B.1 '!$L$23))*(Q80-'B.1 '!$L$23),0))</f>
        <v>50</v>
      </c>
      <c r="S80" s="421"/>
      <c r="T80" s="297">
        <v>2</v>
      </c>
      <c r="U80" s="297">
        <f>IF(T80&lt;='B.1 '!$L$26,'B.1 '!$M$26,IF(AND(T80&lt;='B.1 '!$L$25,T80&gt;'B.1 '!$L$26),0+(('B.1 '!$M$26-'B.1 '!$M$25)/('B.1 '!$L$26-'B.1 '!$L$25))*(T80-'B.1 '!$L$25),0))</f>
        <v>45</v>
      </c>
      <c r="V80" s="421"/>
      <c r="W80" s="297">
        <v>20</v>
      </c>
      <c r="X80" s="297">
        <f>IF(W80&lt;='B.1 '!$L$28,'B.1 '!$M$28,IF(AND(W80&lt;='B.1 '!$L$27,W80&gt;'B.1 '!$L$28),0+(('B.1 '!$M$28-'B.1 '!$M$27)/('B.1 '!$L$28-'B.1 '!$L$27))*(W80-'B.1 '!$L$27),0))</f>
        <v>120</v>
      </c>
      <c r="Y80" s="421"/>
      <c r="Z80" s="297">
        <v>2</v>
      </c>
      <c r="AA80" s="297">
        <f>IF(Z80&lt;='B.1 '!$L$30,'B.1 '!$M$30,IF(AND(Z80&lt;='B.1 '!$L$29,Z80&gt;'B.1 '!$L$30),0+(('B.1 '!$M$30-'B.1 '!$M$29)/('B.1 '!$L$30-'B.1 '!$L$29))*(Z80-'B.1 '!$L$29),0))</f>
        <v>135</v>
      </c>
      <c r="AB80" s="146"/>
    </row>
    <row r="81" spans="2:28">
      <c r="B81" s="145"/>
      <c r="C81" s="296">
        <v>12.5</v>
      </c>
      <c r="D81" s="296">
        <f>IF(C81&lt;='B.1 '!$G$24,'B.1 '!$H$24,IF(AND(C81&lt;='B.1 '!$G$23,C81&gt;'B.1 '!$G$24),0+(('B.1 '!$H$24-'B.1 '!$H$23)/('B.1 '!$G$24-'B.1 '!$G$23))*(C81-'B.1 '!$G$23),0))</f>
        <v>50</v>
      </c>
      <c r="E81" s="419"/>
      <c r="F81" s="296">
        <v>2.5</v>
      </c>
      <c r="G81" s="296">
        <f>IF(F81&lt;='B.1 '!$G$26,'B.1 '!$H$26,IF(AND(F81&lt;='B.1 '!$G$25,F81&gt;'B.1 '!$G$26),0+(('B.1 '!$H$26-'B.1 '!$H$25)/('B.1 '!$G$26-'B.1 '!$G$25))*(F81-'B.1 '!$G$25),0))</f>
        <v>22.5</v>
      </c>
      <c r="H81" s="419"/>
      <c r="I81" s="296">
        <v>25</v>
      </c>
      <c r="J81" s="296">
        <f>IF(I81&lt;='B.1 '!$G$28,'B.1 '!$H$28,IF(AND(I81&lt;='B.1 '!$G$27,I81&gt;'B.1 '!$G$28),0+(('B.1 '!$H$28-'B.1 '!$H$27)/('B.1 '!$G$28-'B.1 '!$G$27))*(I81-'B.1 '!$G$27),0))</f>
        <v>120</v>
      </c>
      <c r="K81" s="419"/>
      <c r="L81" s="296">
        <v>2.5</v>
      </c>
      <c r="M81" s="296">
        <f>IF(L81&lt;='B.1 '!$G$30,'B.1 '!$H$30,IF(AND(L81&lt;='B.1 '!$G$29,L81&gt;'B.1 '!$G$30),0+(('B.1 '!$H$30-'B.1 '!$H$29)/('B.1 '!$G$30-'B.1 '!$G$29))*(L81-'B.1 '!$G$29),0))</f>
        <v>135</v>
      </c>
      <c r="N81" s="276"/>
      <c r="O81" s="295"/>
      <c r="P81" s="420"/>
      <c r="Q81" s="297">
        <v>5</v>
      </c>
      <c r="R81" s="297">
        <f>IF(Q81&lt;='B.1 '!$L$24,'B.1 '!$M$24,IF(AND(Q81&lt;='B.1 '!$L$23,Q81&gt;'B.1 '!$L$24),0+(('B.1 '!$M$24-'B.1 '!$M$23)/('B.1 '!$L$24-'B.1 '!$L$23))*(Q81-'B.1 '!$L$23),0))</f>
        <v>50</v>
      </c>
      <c r="S81" s="421"/>
      <c r="T81" s="297">
        <v>2.5</v>
      </c>
      <c r="U81" s="297">
        <f>IF(T81&lt;='B.1 '!$L$26,'B.1 '!$M$26,IF(AND(T81&lt;='B.1 '!$L$25,T81&gt;'B.1 '!$L$26),0+(('B.1 '!$M$26-'B.1 '!$M$25)/('B.1 '!$L$26-'B.1 '!$L$25))*(T81-'B.1 '!$L$25),0))</f>
        <v>42.1875</v>
      </c>
      <c r="V81" s="421"/>
      <c r="W81" s="297">
        <v>25</v>
      </c>
      <c r="X81" s="297">
        <f>IF(W81&lt;='B.1 '!$L$28,'B.1 '!$M$28,IF(AND(W81&lt;='B.1 '!$L$27,W81&gt;'B.1 '!$L$28),0+(('B.1 '!$M$28-'B.1 '!$M$27)/('B.1 '!$L$28-'B.1 '!$L$27))*(W81-'B.1 '!$L$27),0))</f>
        <v>120</v>
      </c>
      <c r="Y81" s="421"/>
      <c r="Z81" s="297">
        <v>2.5</v>
      </c>
      <c r="AA81" s="297">
        <f>IF(Z81&lt;='B.1 '!$L$30,'B.1 '!$M$30,IF(AND(Z81&lt;='B.1 '!$L$29,Z81&gt;'B.1 '!$L$30),0+(('B.1 '!$M$30-'B.1 '!$M$29)/('B.1 '!$L$30-'B.1 '!$L$29))*(Z81-'B.1 '!$L$29),0))</f>
        <v>135</v>
      </c>
      <c r="AB81" s="146"/>
    </row>
    <row r="82" spans="2:28">
      <c r="B82" s="145"/>
      <c r="C82" s="296">
        <v>15</v>
      </c>
      <c r="D82" s="296">
        <f>IF(C82&lt;='B.1 '!$G$24,'B.1 '!$H$24,IF(AND(C82&lt;='B.1 '!$G$23,C82&gt;'B.1 '!$G$24),0+(('B.1 '!$H$24-'B.1 '!$H$23)/('B.1 '!$G$24-'B.1 '!$G$23))*(C82-'B.1 '!$G$23),0))</f>
        <v>50</v>
      </c>
      <c r="E82" s="419"/>
      <c r="F82" s="296">
        <v>3</v>
      </c>
      <c r="G82" s="296">
        <f>IF(F82&lt;='B.1 '!$G$26,'B.1 '!$H$26,IF(AND(F82&lt;='B.1 '!$G$25,F82&gt;'B.1 '!$G$26),0+(('B.1 '!$H$26-'B.1 '!$H$25)/('B.1 '!$G$26-'B.1 '!$G$25))*(F82-'B.1 '!$G$25),0))</f>
        <v>18</v>
      </c>
      <c r="H82" s="419"/>
      <c r="I82" s="296">
        <v>30</v>
      </c>
      <c r="J82" s="296">
        <f>IF(I82&lt;='B.1 '!$G$28,'B.1 '!$H$28,IF(AND(I82&lt;='B.1 '!$G$27,I82&gt;'B.1 '!$G$28),0+(('B.1 '!$H$28-'B.1 '!$H$27)/('B.1 '!$G$28-'B.1 '!$G$27))*(I82-'B.1 '!$G$27),0))</f>
        <v>120</v>
      </c>
      <c r="K82" s="419"/>
      <c r="L82" s="296">
        <v>3</v>
      </c>
      <c r="M82" s="296">
        <f>IF(L82&lt;='B.1 '!$G$30,'B.1 '!$H$30,IF(AND(L82&lt;='B.1 '!$G$29,L82&gt;'B.1 '!$G$30),0+(('B.1 '!$H$30-'B.1 '!$H$29)/('B.1 '!$G$30-'B.1 '!$G$29))*(L82-'B.1 '!$G$29),0))</f>
        <v>135</v>
      </c>
      <c r="N82" s="276"/>
      <c r="O82" s="295"/>
      <c r="P82" s="420"/>
      <c r="Q82" s="297">
        <v>6</v>
      </c>
      <c r="R82" s="297">
        <f>IF(Q82&lt;='B.1 '!$L$24,'B.1 '!$M$24,IF(AND(Q82&lt;='B.1 '!$L$23,Q82&gt;'B.1 '!$L$24),0+(('B.1 '!$M$24-'B.1 '!$M$23)/('B.1 '!$L$24-'B.1 '!$L$23))*(Q82-'B.1 '!$L$23),0))</f>
        <v>50</v>
      </c>
      <c r="S82" s="421"/>
      <c r="T82" s="297">
        <v>3</v>
      </c>
      <c r="U82" s="297">
        <f>IF(T82&lt;='B.1 '!$L$26,'B.1 '!$M$26,IF(AND(T82&lt;='B.1 '!$L$25,T82&gt;'B.1 '!$L$26),0+(('B.1 '!$M$26-'B.1 '!$M$25)/('B.1 '!$L$26-'B.1 '!$L$25))*(T82-'B.1 '!$L$25),0))</f>
        <v>39.375</v>
      </c>
      <c r="V82" s="421"/>
      <c r="W82" s="297">
        <v>30</v>
      </c>
      <c r="X82" s="297">
        <f>IF(W82&lt;='B.1 '!$L$28,'B.1 '!$M$28,IF(AND(W82&lt;='B.1 '!$L$27,W82&gt;'B.1 '!$L$28),0+(('B.1 '!$M$28-'B.1 '!$M$27)/('B.1 '!$L$28-'B.1 '!$L$27))*(W82-'B.1 '!$L$27),0))</f>
        <v>120</v>
      </c>
      <c r="Y82" s="421"/>
      <c r="Z82" s="297">
        <v>3</v>
      </c>
      <c r="AA82" s="297">
        <f>IF(Z82&lt;='B.1 '!$L$30,'B.1 '!$M$30,IF(AND(Z82&lt;='B.1 '!$L$29,Z82&gt;'B.1 '!$L$30),0+(('B.1 '!$M$30-'B.1 '!$M$29)/('B.1 '!$L$30-'B.1 '!$L$29))*(Z82-'B.1 '!$L$29),0))</f>
        <v>135</v>
      </c>
      <c r="AB82" s="146"/>
    </row>
    <row r="83" spans="2:28">
      <c r="B83" s="145"/>
      <c r="C83" s="296">
        <v>17.5</v>
      </c>
      <c r="D83" s="296">
        <f>IF(C83&lt;='B.1 '!$G$24,'B.1 '!$H$24,IF(AND(C83&lt;='B.1 '!$G$23,C83&gt;'B.1 '!$G$24),0+(('B.1 '!$H$24-'B.1 '!$H$23)/('B.1 '!$G$24-'B.1 '!$G$23))*(C83-'B.1 '!$G$23),0))</f>
        <v>45.833333333333336</v>
      </c>
      <c r="E83" s="419"/>
      <c r="F83" s="296">
        <v>3.5</v>
      </c>
      <c r="G83" s="296">
        <f>IF(F83&lt;='B.1 '!$G$26,'B.1 '!$H$26,IF(AND(F83&lt;='B.1 '!$G$25,F83&gt;'B.1 '!$G$26),0+(('B.1 '!$H$26-'B.1 '!$H$25)/('B.1 '!$G$26-'B.1 '!$G$25))*(F83-'B.1 '!$G$25),0))</f>
        <v>13.5</v>
      </c>
      <c r="H83" s="419"/>
      <c r="I83" s="296">
        <v>35</v>
      </c>
      <c r="J83" s="296">
        <f>IF(I83&lt;='B.1 '!$G$28,'B.1 '!$H$28,IF(AND(I83&lt;='B.1 '!$G$27,I83&gt;'B.1 '!$G$28),0+(('B.1 '!$H$28-'B.1 '!$H$27)/('B.1 '!$G$28-'B.1 '!$G$27))*(I83-'B.1 '!$G$27),0))</f>
        <v>120</v>
      </c>
      <c r="K83" s="419"/>
      <c r="L83" s="296">
        <v>3.5</v>
      </c>
      <c r="M83" s="296">
        <f>IF(L83&lt;='B.1 '!$G$30,'B.1 '!$H$30,IF(AND(L83&lt;='B.1 '!$G$29,L83&gt;'B.1 '!$G$30),0+(('B.1 '!$H$30-'B.1 '!$H$29)/('B.1 '!$G$30-'B.1 '!$G$29))*(L83-'B.1 '!$G$29),0))</f>
        <v>135</v>
      </c>
      <c r="N83" s="276"/>
      <c r="O83" s="295"/>
      <c r="P83" s="420"/>
      <c r="Q83" s="297">
        <v>7</v>
      </c>
      <c r="R83" s="297">
        <f>IF(Q83&lt;='B.1 '!$L$24,'B.1 '!$M$24,IF(AND(Q83&lt;='B.1 '!$L$23,Q83&gt;'B.1 '!$L$24),0+(('B.1 '!$M$24-'B.1 '!$M$23)/('B.1 '!$L$24-'B.1 '!$L$23))*(Q83-'B.1 '!$L$23),0))</f>
        <v>50</v>
      </c>
      <c r="S83" s="421"/>
      <c r="T83" s="297">
        <v>3.5</v>
      </c>
      <c r="U83" s="297">
        <f>IF(T83&lt;='B.1 '!$L$26,'B.1 '!$M$26,IF(AND(T83&lt;='B.1 '!$L$25,T83&gt;'B.1 '!$L$26),0+(('B.1 '!$M$26-'B.1 '!$M$25)/('B.1 '!$L$26-'B.1 '!$L$25))*(T83-'B.1 '!$L$25),0))</f>
        <v>36.5625</v>
      </c>
      <c r="V83" s="421"/>
      <c r="W83" s="297">
        <v>35</v>
      </c>
      <c r="X83" s="297">
        <f>IF(W83&lt;='B.1 '!$L$28,'B.1 '!$M$28,IF(AND(W83&lt;='B.1 '!$L$27,W83&gt;'B.1 '!$L$28),0+(('B.1 '!$M$28-'B.1 '!$M$27)/('B.1 '!$L$28-'B.1 '!$L$27))*(W83-'B.1 '!$L$27),0))</f>
        <v>120</v>
      </c>
      <c r="Y83" s="421"/>
      <c r="Z83" s="297">
        <v>3.5</v>
      </c>
      <c r="AA83" s="297">
        <f>IF(Z83&lt;='B.1 '!$L$30,'B.1 '!$M$30,IF(AND(Z83&lt;='B.1 '!$L$29,Z83&gt;'B.1 '!$L$30),0+(('B.1 '!$M$30-'B.1 '!$M$29)/('B.1 '!$L$30-'B.1 '!$L$29))*(Z83-'B.1 '!$L$29),0))</f>
        <v>135</v>
      </c>
      <c r="AB83" s="146"/>
    </row>
    <row r="84" spans="2:28">
      <c r="B84" s="145"/>
      <c r="C84" s="296">
        <v>20</v>
      </c>
      <c r="D84" s="296">
        <f>IF(C84&lt;='B.1 '!$G$24,'B.1 '!$H$24,IF(AND(C84&lt;='B.1 '!$G$23,C84&gt;'B.1 '!$G$24),0+(('B.1 '!$H$24-'B.1 '!$H$23)/('B.1 '!$G$24-'B.1 '!$G$23))*(C84-'B.1 '!$G$23),0))</f>
        <v>41.666666666666671</v>
      </c>
      <c r="E84" s="419"/>
      <c r="F84" s="296">
        <v>4</v>
      </c>
      <c r="G84" s="296">
        <f>IF(F84&lt;='B.1 '!$G$26,'B.1 '!$H$26,IF(AND(F84&lt;='B.1 '!$G$25,F84&gt;'B.1 '!$G$26),0+(('B.1 '!$H$26-'B.1 '!$H$25)/('B.1 '!$G$26-'B.1 '!$G$25))*(F84-'B.1 '!$G$25),0))</f>
        <v>9</v>
      </c>
      <c r="H84" s="419"/>
      <c r="I84" s="296">
        <v>40</v>
      </c>
      <c r="J84" s="296">
        <f>IF(I84&lt;='B.1 '!$G$28,'B.1 '!$H$28,IF(AND(I84&lt;='B.1 '!$G$27,I84&gt;'B.1 '!$G$28),0+(('B.1 '!$H$28-'B.1 '!$H$27)/('B.1 '!$G$28-'B.1 '!$G$27))*(I84-'B.1 '!$G$27),0))</f>
        <v>120</v>
      </c>
      <c r="K84" s="419"/>
      <c r="L84" s="296">
        <v>4</v>
      </c>
      <c r="M84" s="296">
        <f>IF(L84&lt;='B.1 '!$G$30,'B.1 '!$H$30,IF(AND(L84&lt;='B.1 '!$G$29,L84&gt;'B.1 '!$G$30),0+(('B.1 '!$H$30-'B.1 '!$H$29)/('B.1 '!$G$30-'B.1 '!$G$29))*(L84-'B.1 '!$G$29),0))</f>
        <v>135</v>
      </c>
      <c r="N84" s="276"/>
      <c r="O84" s="295"/>
      <c r="P84" s="420"/>
      <c r="Q84" s="297">
        <v>8</v>
      </c>
      <c r="R84" s="297">
        <f>IF(Q84&lt;='B.1 '!$L$24,'B.1 '!$M$24,IF(AND(Q84&lt;='B.1 '!$L$23,Q84&gt;'B.1 '!$L$24),0+(('B.1 '!$M$24-'B.1 '!$M$23)/('B.1 '!$L$24-'B.1 '!$L$23))*(Q84-'B.1 '!$L$23),0))</f>
        <v>50</v>
      </c>
      <c r="S84" s="421"/>
      <c r="T84" s="297">
        <v>4</v>
      </c>
      <c r="U84" s="297">
        <f>IF(T84&lt;='B.1 '!$L$26,'B.1 '!$M$26,IF(AND(T84&lt;='B.1 '!$L$25,T84&gt;'B.1 '!$L$26),0+(('B.1 '!$M$26-'B.1 '!$M$25)/('B.1 '!$L$26-'B.1 '!$L$25))*(T84-'B.1 '!$L$25),0))</f>
        <v>33.75</v>
      </c>
      <c r="V84" s="421"/>
      <c r="W84" s="297">
        <v>40</v>
      </c>
      <c r="X84" s="297">
        <f>IF(W84&lt;='B.1 '!$L$28,'B.1 '!$M$28,IF(AND(W84&lt;='B.1 '!$L$27,W84&gt;'B.1 '!$L$28),0+(('B.1 '!$M$28-'B.1 '!$M$27)/('B.1 '!$L$28-'B.1 '!$L$27))*(W84-'B.1 '!$L$27),0))</f>
        <v>120</v>
      </c>
      <c r="Y84" s="421"/>
      <c r="Z84" s="297">
        <v>4</v>
      </c>
      <c r="AA84" s="297">
        <f>IF(Z84&lt;='B.1 '!$L$30,'B.1 '!$M$30,IF(AND(Z84&lt;='B.1 '!$L$29,Z84&gt;'B.1 '!$L$30),0+(('B.1 '!$M$30-'B.1 '!$M$29)/('B.1 '!$L$30-'B.1 '!$L$29))*(Z84-'B.1 '!$L$29),0))</f>
        <v>135</v>
      </c>
      <c r="AB84" s="146"/>
    </row>
    <row r="85" spans="2:28">
      <c r="B85" s="145"/>
      <c r="C85" s="296">
        <v>22.5</v>
      </c>
      <c r="D85" s="296">
        <f>IF(C85&lt;='B.1 '!$G$24,'B.1 '!$H$24,IF(AND(C85&lt;='B.1 '!$G$23,C85&gt;'B.1 '!$G$24),0+(('B.1 '!$H$24-'B.1 '!$H$23)/('B.1 '!$G$24-'B.1 '!$G$23))*(C85-'B.1 '!$G$23),0))</f>
        <v>37.5</v>
      </c>
      <c r="E85" s="419"/>
      <c r="F85" s="296">
        <v>4.5</v>
      </c>
      <c r="G85" s="296">
        <f>IF(F85&lt;='B.1 '!$G$26,'B.1 '!$H$26,IF(AND(F85&lt;='B.1 '!$G$25,F85&gt;'B.1 '!$G$26),0+(('B.1 '!$H$26-'B.1 '!$H$25)/('B.1 '!$G$26-'B.1 '!$G$25))*(F85-'B.1 '!$G$25),0))</f>
        <v>4.5</v>
      </c>
      <c r="H85" s="419"/>
      <c r="I85" s="296">
        <v>45</v>
      </c>
      <c r="J85" s="296">
        <f>IF(I85&lt;='B.1 '!$G$28,'B.1 '!$H$28,IF(AND(I85&lt;='B.1 '!$G$27,I85&gt;'B.1 '!$G$28),0+(('B.1 '!$H$28-'B.1 '!$H$27)/('B.1 '!$G$28-'B.1 '!$G$27))*(I85-'B.1 '!$G$27),0))</f>
        <v>120</v>
      </c>
      <c r="K85" s="419"/>
      <c r="L85" s="296">
        <v>4.5</v>
      </c>
      <c r="M85" s="296">
        <f>IF(L85&lt;='B.1 '!$G$30,'B.1 '!$H$30,IF(AND(L85&lt;='B.1 '!$G$29,L85&gt;'B.1 '!$G$30),0+(('B.1 '!$H$30-'B.1 '!$H$29)/('B.1 '!$G$30-'B.1 '!$G$29))*(L85-'B.1 '!$G$29),0))</f>
        <v>135</v>
      </c>
      <c r="N85" s="276"/>
      <c r="O85" s="295"/>
      <c r="P85" s="420"/>
      <c r="Q85" s="297">
        <v>9</v>
      </c>
      <c r="R85" s="297">
        <f>IF(Q85&lt;='B.1 '!$L$24,'B.1 '!$M$24,IF(AND(Q85&lt;='B.1 '!$L$23,Q85&gt;'B.1 '!$L$24),0+(('B.1 '!$M$24-'B.1 '!$M$23)/('B.1 '!$L$24-'B.1 '!$L$23))*(Q85-'B.1 '!$L$23),0))</f>
        <v>50</v>
      </c>
      <c r="S85" s="421"/>
      <c r="T85" s="297">
        <v>4.5</v>
      </c>
      <c r="U85" s="297">
        <f>IF(T85&lt;='B.1 '!$L$26,'B.1 '!$M$26,IF(AND(T85&lt;='B.1 '!$L$25,T85&gt;'B.1 '!$L$26),0+(('B.1 '!$M$26-'B.1 '!$M$25)/('B.1 '!$L$26-'B.1 '!$L$25))*(T85-'B.1 '!$L$25),0))</f>
        <v>30.9375</v>
      </c>
      <c r="V85" s="421"/>
      <c r="W85" s="297">
        <v>45</v>
      </c>
      <c r="X85" s="297">
        <f>IF(W85&lt;='B.1 '!$L$28,'B.1 '!$M$28,IF(AND(W85&lt;='B.1 '!$L$27,W85&gt;'B.1 '!$L$28),0+(('B.1 '!$M$28-'B.1 '!$M$27)/('B.1 '!$L$28-'B.1 '!$L$27))*(W85-'B.1 '!$L$27),0))</f>
        <v>120</v>
      </c>
      <c r="Y85" s="421"/>
      <c r="Z85" s="297">
        <v>4.5</v>
      </c>
      <c r="AA85" s="297">
        <f>IF(Z85&lt;='B.1 '!$L$30,'B.1 '!$M$30,IF(AND(Z85&lt;='B.1 '!$L$29,Z85&gt;'B.1 '!$L$30),0+(('B.1 '!$M$30-'B.1 '!$M$29)/('B.1 '!$L$30-'B.1 '!$L$29))*(Z85-'B.1 '!$L$29),0))</f>
        <v>135</v>
      </c>
      <c r="AB85" s="146"/>
    </row>
    <row r="86" spans="2:28">
      <c r="B86" s="145"/>
      <c r="C86" s="296">
        <v>25</v>
      </c>
      <c r="D86" s="296">
        <f>IF(C86&lt;='B.1 '!$G$24,'B.1 '!$H$24,IF(AND(C86&lt;='B.1 '!$G$23,C86&gt;'B.1 '!$G$24),0+(('B.1 '!$H$24-'B.1 '!$H$23)/('B.1 '!$G$24-'B.1 '!$G$23))*(C86-'B.1 '!$G$23),0))</f>
        <v>33.333333333333336</v>
      </c>
      <c r="E86" s="419"/>
      <c r="F86" s="296">
        <v>5</v>
      </c>
      <c r="G86" s="296">
        <f>IF(F86&lt;='B.1 '!$G$26,'B.1 '!$H$26,IF(AND(F86&lt;='B.1 '!$G$25,F86&gt;'B.1 '!$G$26),0+(('B.1 '!$H$26-'B.1 '!$H$25)/('B.1 '!$G$26-'B.1 '!$G$25))*(F86-'B.1 '!$G$25),0))</f>
        <v>0</v>
      </c>
      <c r="H86" s="419"/>
      <c r="I86" s="296">
        <v>50</v>
      </c>
      <c r="J86" s="296">
        <f>IF(I86&lt;='B.1 '!$G$28,'B.1 '!$H$28,IF(AND(I86&lt;='B.1 '!$G$27,I86&gt;'B.1 '!$G$28),0+(('B.1 '!$H$28-'B.1 '!$H$27)/('B.1 '!$G$28-'B.1 '!$G$27))*(I86-'B.1 '!$G$27),0))</f>
        <v>120</v>
      </c>
      <c r="K86" s="419"/>
      <c r="L86" s="296">
        <v>5</v>
      </c>
      <c r="M86" s="296">
        <f>IF(L86&lt;='B.1 '!$G$30,'B.1 '!$H$30,IF(AND(L86&lt;='B.1 '!$G$29,L86&gt;'B.1 '!$G$30),0+(('B.1 '!$H$30-'B.1 '!$H$29)/('B.1 '!$G$30-'B.1 '!$G$29))*(L86-'B.1 '!$G$29),0))</f>
        <v>135</v>
      </c>
      <c r="N86" s="276"/>
      <c r="O86" s="295"/>
      <c r="P86" s="420"/>
      <c r="Q86" s="297">
        <v>10</v>
      </c>
      <c r="R86" s="297">
        <f>IF(Q86&lt;='B.1 '!$L$24,'B.1 '!$M$24,IF(AND(Q86&lt;='B.1 '!$L$23,Q86&gt;'B.1 '!$L$24),0+(('B.1 '!$M$24-'B.1 '!$M$23)/('B.1 '!$L$24-'B.1 '!$L$23))*(Q86-'B.1 '!$L$23),0))</f>
        <v>50</v>
      </c>
      <c r="S86" s="421"/>
      <c r="T86" s="297">
        <v>5</v>
      </c>
      <c r="U86" s="297">
        <f>IF(T86&lt;='B.1 '!$L$26,'B.1 '!$M$26,IF(AND(T86&lt;='B.1 '!$L$25,T86&gt;'B.1 '!$L$26),0+(('B.1 '!$M$26-'B.1 '!$M$25)/('B.1 '!$L$26-'B.1 '!$L$25))*(T86-'B.1 '!$L$25),0))</f>
        <v>28.125</v>
      </c>
      <c r="V86" s="421"/>
      <c r="W86" s="297">
        <v>50</v>
      </c>
      <c r="X86" s="297">
        <f>IF(W86&lt;='B.1 '!$L$28,'B.1 '!$M$28,IF(AND(W86&lt;='B.1 '!$L$27,W86&gt;'B.1 '!$L$28),0+(('B.1 '!$M$28-'B.1 '!$M$27)/('B.1 '!$L$28-'B.1 '!$L$27))*(W86-'B.1 '!$L$27),0))</f>
        <v>120</v>
      </c>
      <c r="Y86" s="421"/>
      <c r="Z86" s="297">
        <v>5</v>
      </c>
      <c r="AA86" s="297">
        <f>IF(Z86&lt;='B.1 '!$L$30,'B.1 '!$M$30,IF(AND(Z86&lt;='B.1 '!$L$29,Z86&gt;'B.1 '!$L$30),0+(('B.1 '!$M$30-'B.1 '!$M$29)/('B.1 '!$L$30-'B.1 '!$L$29))*(Z86-'B.1 '!$L$29),0))</f>
        <v>135</v>
      </c>
      <c r="AB86" s="146"/>
    </row>
    <row r="87" spans="2:28">
      <c r="B87" s="145"/>
      <c r="C87" s="296">
        <v>27.5</v>
      </c>
      <c r="D87" s="296">
        <f>IF(C87&lt;='B.1 '!$G$24,'B.1 '!$H$24,IF(AND(C87&lt;='B.1 '!$G$23,C87&gt;'B.1 '!$G$24),0+(('B.1 '!$H$24-'B.1 '!$H$23)/('B.1 '!$G$24-'B.1 '!$G$23))*(C87-'B.1 '!$G$23),0))</f>
        <v>29.166666666666668</v>
      </c>
      <c r="E87" s="419"/>
      <c r="F87" s="296">
        <v>5.5</v>
      </c>
      <c r="G87" s="296">
        <f>IF(F87&lt;='B.1 '!$G$26,'B.1 '!$H$26,IF(AND(F87&lt;='B.1 '!$G$25,F87&gt;'B.1 '!$G$26),0+(('B.1 '!$H$26-'B.1 '!$H$25)/('B.1 '!$G$26-'B.1 '!$G$25))*(F87-'B.1 '!$G$25),0))</f>
        <v>0</v>
      </c>
      <c r="H87" s="419"/>
      <c r="I87" s="296">
        <v>55</v>
      </c>
      <c r="J87" s="296">
        <f>IF(I87&lt;='B.1 '!$G$28,'B.1 '!$H$28,IF(AND(I87&lt;='B.1 '!$G$27,I87&gt;'B.1 '!$G$28),0+(('B.1 '!$H$28-'B.1 '!$H$27)/('B.1 '!$G$28-'B.1 '!$G$27))*(I87-'B.1 '!$G$27),0))</f>
        <v>120</v>
      </c>
      <c r="K87" s="419"/>
      <c r="L87" s="296">
        <v>5.5</v>
      </c>
      <c r="M87" s="296">
        <f>IF(L87&lt;='B.1 '!$G$30,'B.1 '!$H$30,IF(AND(L87&lt;='B.1 '!$G$29,L87&gt;'B.1 '!$G$30),0+(('B.1 '!$H$30-'B.1 '!$H$29)/('B.1 '!$G$30-'B.1 '!$G$29))*(L87-'B.1 '!$G$29),0))</f>
        <v>135</v>
      </c>
      <c r="N87" s="276"/>
      <c r="O87" s="295"/>
      <c r="P87" s="420"/>
      <c r="Q87" s="297">
        <v>11</v>
      </c>
      <c r="R87" s="297">
        <f>IF(Q87&lt;='B.1 '!$L$24,'B.1 '!$M$24,IF(AND(Q87&lt;='B.1 '!$L$23,Q87&gt;'B.1 '!$L$24),0+(('B.1 '!$M$24-'B.1 '!$M$23)/('B.1 '!$L$24-'B.1 '!$L$23))*(Q87-'B.1 '!$L$23),0))</f>
        <v>50</v>
      </c>
      <c r="S87" s="421"/>
      <c r="T87" s="297">
        <v>5.5</v>
      </c>
      <c r="U87" s="297">
        <f>IF(T87&lt;='B.1 '!$L$26,'B.1 '!$M$26,IF(AND(T87&lt;='B.1 '!$L$25,T87&gt;'B.1 '!$L$26),0+(('B.1 '!$M$26-'B.1 '!$M$25)/('B.1 '!$L$26-'B.1 '!$L$25))*(T87-'B.1 '!$L$25),0))</f>
        <v>25.3125</v>
      </c>
      <c r="V87" s="421"/>
      <c r="W87" s="297">
        <v>55</v>
      </c>
      <c r="X87" s="297">
        <f>IF(W87&lt;='B.1 '!$L$28,'B.1 '!$M$28,IF(AND(W87&lt;='B.1 '!$L$27,W87&gt;'B.1 '!$L$28),0+(('B.1 '!$M$28-'B.1 '!$M$27)/('B.1 '!$L$28-'B.1 '!$L$27))*(W87-'B.1 '!$L$27),0))</f>
        <v>120</v>
      </c>
      <c r="Y87" s="421"/>
      <c r="Z87" s="297">
        <v>5.5</v>
      </c>
      <c r="AA87" s="297">
        <f>IF(Z87&lt;='B.1 '!$L$30,'B.1 '!$M$30,IF(AND(Z87&lt;='B.1 '!$L$29,Z87&gt;'B.1 '!$L$30),0+(('B.1 '!$M$30-'B.1 '!$M$29)/('B.1 '!$L$30-'B.1 '!$L$29))*(Z87-'B.1 '!$L$29),0))</f>
        <v>135</v>
      </c>
      <c r="AB87" s="146"/>
    </row>
    <row r="88" spans="2:28">
      <c r="B88" s="145"/>
      <c r="C88" s="296">
        <v>30</v>
      </c>
      <c r="D88" s="296">
        <f>IF(C88&lt;='B.1 '!$G$24,'B.1 '!$H$24,IF(AND(C88&lt;='B.1 '!$G$23,C88&gt;'B.1 '!$G$24),0+(('B.1 '!$H$24-'B.1 '!$H$23)/('B.1 '!$G$24-'B.1 '!$G$23))*(C88-'B.1 '!$G$23),0))</f>
        <v>25</v>
      </c>
      <c r="E88" s="419"/>
      <c r="F88" s="296">
        <v>6</v>
      </c>
      <c r="G88" s="296">
        <f>IF(F88&lt;='B.1 '!$G$26,'B.1 '!$H$26,IF(AND(F88&lt;='B.1 '!$G$25,F88&gt;'B.1 '!$G$26),0+(('B.1 '!$H$26-'B.1 '!$H$25)/('B.1 '!$G$26-'B.1 '!$G$25))*(F88-'B.1 '!$G$25),0))</f>
        <v>0</v>
      </c>
      <c r="H88" s="419"/>
      <c r="I88" s="296">
        <v>60</v>
      </c>
      <c r="J88" s="296">
        <f>IF(I88&lt;='B.1 '!$G$28,'B.1 '!$H$28,IF(AND(I88&lt;='B.1 '!$G$27,I88&gt;'B.1 '!$G$28),0+(('B.1 '!$H$28-'B.1 '!$H$27)/('B.1 '!$G$28-'B.1 '!$G$27))*(I88-'B.1 '!$G$27),0))</f>
        <v>120</v>
      </c>
      <c r="K88" s="419"/>
      <c r="L88" s="296">
        <v>6</v>
      </c>
      <c r="M88" s="296">
        <f>IF(L88&lt;='B.1 '!$G$30,'B.1 '!$H$30,IF(AND(L88&lt;='B.1 '!$G$29,L88&gt;'B.1 '!$G$30),0+(('B.1 '!$H$30-'B.1 '!$H$29)/('B.1 '!$G$30-'B.1 '!$G$29))*(L88-'B.1 '!$G$29),0))</f>
        <v>135</v>
      </c>
      <c r="N88" s="276"/>
      <c r="O88" s="295"/>
      <c r="P88" s="420"/>
      <c r="Q88" s="297">
        <v>12</v>
      </c>
      <c r="R88" s="297">
        <f>IF(Q88&lt;='B.1 '!$L$24,'B.1 '!$M$24,IF(AND(Q88&lt;='B.1 '!$L$23,Q88&gt;'B.1 '!$L$24),0+(('B.1 '!$M$24-'B.1 '!$M$23)/('B.1 '!$L$24-'B.1 '!$L$23))*(Q88-'B.1 '!$L$23),0))</f>
        <v>50</v>
      </c>
      <c r="S88" s="421"/>
      <c r="T88" s="297">
        <v>6</v>
      </c>
      <c r="U88" s="297">
        <f>IF(T88&lt;='B.1 '!$L$26,'B.1 '!$M$26,IF(AND(T88&lt;='B.1 '!$L$25,T88&gt;'B.1 '!$L$26),0+(('B.1 '!$M$26-'B.1 '!$M$25)/('B.1 '!$L$26-'B.1 '!$L$25))*(T88-'B.1 '!$L$25),0))</f>
        <v>22.5</v>
      </c>
      <c r="V88" s="421"/>
      <c r="W88" s="297">
        <v>60</v>
      </c>
      <c r="X88" s="297">
        <f>IF(W88&lt;='B.1 '!$L$28,'B.1 '!$M$28,IF(AND(W88&lt;='B.1 '!$L$27,W88&gt;'B.1 '!$L$28),0+(('B.1 '!$M$28-'B.1 '!$M$27)/('B.1 '!$L$28-'B.1 '!$L$27))*(W88-'B.1 '!$L$27),0))</f>
        <v>120</v>
      </c>
      <c r="Y88" s="421"/>
      <c r="Z88" s="297">
        <v>6</v>
      </c>
      <c r="AA88" s="297">
        <f>IF(Z88&lt;='B.1 '!$L$30,'B.1 '!$M$30,IF(AND(Z88&lt;='B.1 '!$L$29,Z88&gt;'B.1 '!$L$30),0+(('B.1 '!$M$30-'B.1 '!$M$29)/('B.1 '!$L$30-'B.1 '!$L$29))*(Z88-'B.1 '!$L$29),0))</f>
        <v>135</v>
      </c>
      <c r="AB88" s="146"/>
    </row>
    <row r="89" spans="2:28">
      <c r="B89" s="145"/>
      <c r="C89" s="296">
        <v>32.5</v>
      </c>
      <c r="D89" s="296">
        <f>IF(C89&lt;='B.1 '!$G$24,'B.1 '!$H$24,IF(AND(C89&lt;='B.1 '!$G$23,C89&gt;'B.1 '!$G$24),0+(('B.1 '!$H$24-'B.1 '!$H$23)/('B.1 '!$G$24-'B.1 '!$G$23))*(C89-'B.1 '!$G$23),0))</f>
        <v>20.833333333333336</v>
      </c>
      <c r="E89" s="419"/>
      <c r="F89" s="296">
        <v>6.5</v>
      </c>
      <c r="G89" s="296">
        <f>IF(F89&lt;='B.1 '!$G$26,'B.1 '!$H$26,IF(AND(F89&lt;='B.1 '!$G$25,F89&gt;'B.1 '!$G$26),0+(('B.1 '!$H$26-'B.1 '!$H$25)/('B.1 '!$G$26-'B.1 '!$G$25))*(F89-'B.1 '!$G$25),0))</f>
        <v>0</v>
      </c>
      <c r="H89" s="419"/>
      <c r="I89" s="296">
        <v>65</v>
      </c>
      <c r="J89" s="296">
        <f>IF(I89&lt;='B.1 '!$G$28,'B.1 '!$H$28,IF(AND(I89&lt;='B.1 '!$G$27,I89&gt;'B.1 '!$G$28),0+(('B.1 '!$H$28-'B.1 '!$H$27)/('B.1 '!$G$28-'B.1 '!$G$27))*(I89-'B.1 '!$G$27),0))</f>
        <v>115</v>
      </c>
      <c r="K89" s="419"/>
      <c r="L89" s="296">
        <v>6.5</v>
      </c>
      <c r="M89" s="296">
        <f>IF(L89&lt;='B.1 '!$G$30,'B.1 '!$H$30,IF(AND(L89&lt;='B.1 '!$G$29,L89&gt;'B.1 '!$G$30),0+(('B.1 '!$H$30-'B.1 '!$H$29)/('B.1 '!$G$30-'B.1 '!$G$29))*(L89-'B.1 '!$G$29),0))</f>
        <v>135</v>
      </c>
      <c r="N89" s="276"/>
      <c r="O89" s="295"/>
      <c r="P89" s="420"/>
      <c r="Q89" s="297">
        <v>13</v>
      </c>
      <c r="R89" s="297">
        <f>IF(Q89&lt;='B.1 '!$L$24,'B.1 '!$M$24,IF(AND(Q89&lt;='B.1 '!$L$23,Q89&gt;'B.1 '!$L$24),0+(('B.1 '!$M$24-'B.1 '!$M$23)/('B.1 '!$L$24-'B.1 '!$L$23))*(Q89-'B.1 '!$L$23),0))</f>
        <v>50</v>
      </c>
      <c r="S89" s="421"/>
      <c r="T89" s="297">
        <v>6.5</v>
      </c>
      <c r="U89" s="297">
        <f>IF(T89&lt;='B.1 '!$L$26,'B.1 '!$M$26,IF(AND(T89&lt;='B.1 '!$L$25,T89&gt;'B.1 '!$L$26),0+(('B.1 '!$M$26-'B.1 '!$M$25)/('B.1 '!$L$26-'B.1 '!$L$25))*(T89-'B.1 '!$L$25),0))</f>
        <v>19.6875</v>
      </c>
      <c r="V89" s="421"/>
      <c r="W89" s="297">
        <v>65</v>
      </c>
      <c r="X89" s="297">
        <f>IF(W89&lt;='B.1 '!$L$28,'B.1 '!$M$28,IF(AND(W89&lt;='B.1 '!$L$27,W89&gt;'B.1 '!$L$28),0+(('B.1 '!$M$28-'B.1 '!$M$27)/('B.1 '!$L$28-'B.1 '!$L$27))*(W89-'B.1 '!$L$27),0))</f>
        <v>115.71428571428571</v>
      </c>
      <c r="Y89" s="421"/>
      <c r="Z89" s="297">
        <v>6.5</v>
      </c>
      <c r="AA89" s="297">
        <f>IF(Z89&lt;='B.1 '!$L$30,'B.1 '!$M$30,IF(AND(Z89&lt;='B.1 '!$L$29,Z89&gt;'B.1 '!$L$30),0+(('B.1 '!$M$30-'B.1 '!$M$29)/('B.1 '!$L$30-'B.1 '!$L$29))*(Z89-'B.1 '!$L$29),0))</f>
        <v>135</v>
      </c>
      <c r="AB89" s="146"/>
    </row>
    <row r="90" spans="2:28">
      <c r="B90" s="145"/>
      <c r="C90" s="296">
        <v>35</v>
      </c>
      <c r="D90" s="296">
        <f>IF(C90&lt;='B.1 '!$G$24,'B.1 '!$H$24,IF(AND(C90&lt;='B.1 '!$G$23,C90&gt;'B.1 '!$G$24),0+(('B.1 '!$H$24-'B.1 '!$H$23)/('B.1 '!$G$24-'B.1 '!$G$23))*(C90-'B.1 '!$G$23),0))</f>
        <v>16.666666666666668</v>
      </c>
      <c r="E90" s="419"/>
      <c r="F90" s="296">
        <v>7</v>
      </c>
      <c r="G90" s="296">
        <f>IF(F90&lt;='B.1 '!$G$26,'B.1 '!$H$26,IF(AND(F90&lt;='B.1 '!$G$25,F90&gt;'B.1 '!$G$26),0+(('B.1 '!$H$26-'B.1 '!$H$25)/('B.1 '!$G$26-'B.1 '!$G$25))*(F90-'B.1 '!$G$25),0))</f>
        <v>0</v>
      </c>
      <c r="H90" s="419"/>
      <c r="I90" s="296">
        <v>70</v>
      </c>
      <c r="J90" s="296">
        <f>IF(I90&lt;='B.1 '!$G$28,'B.1 '!$H$28,IF(AND(I90&lt;='B.1 '!$G$27,I90&gt;'B.1 '!$G$28),0+(('B.1 '!$H$28-'B.1 '!$H$27)/('B.1 '!$G$28-'B.1 '!$G$27))*(I90-'B.1 '!$G$27),0))</f>
        <v>110</v>
      </c>
      <c r="K90" s="419"/>
      <c r="L90" s="296">
        <v>7</v>
      </c>
      <c r="M90" s="296">
        <f>IF(L90&lt;='B.1 '!$G$30,'B.1 '!$H$30,IF(AND(L90&lt;='B.1 '!$G$29,L90&gt;'B.1 '!$G$30),0+(('B.1 '!$H$30-'B.1 '!$H$29)/('B.1 '!$G$30-'B.1 '!$G$29))*(L90-'B.1 '!$G$29),0))</f>
        <v>135</v>
      </c>
      <c r="N90" s="276"/>
      <c r="O90" s="295"/>
      <c r="P90" s="420"/>
      <c r="Q90" s="297">
        <v>14</v>
      </c>
      <c r="R90" s="297">
        <f>IF(Q90&lt;='B.1 '!$L$24,'B.1 '!$M$24,IF(AND(Q90&lt;='B.1 '!$L$23,Q90&gt;'B.1 '!$L$24),0+(('B.1 '!$M$24-'B.1 '!$M$23)/('B.1 '!$L$24-'B.1 '!$L$23))*(Q90-'B.1 '!$L$23),0))</f>
        <v>50</v>
      </c>
      <c r="S90" s="421"/>
      <c r="T90" s="297">
        <v>7</v>
      </c>
      <c r="U90" s="297">
        <f>IF(T90&lt;='B.1 '!$L$26,'B.1 '!$M$26,IF(AND(T90&lt;='B.1 '!$L$25,T90&gt;'B.1 '!$L$26),0+(('B.1 '!$M$26-'B.1 '!$M$25)/('B.1 '!$L$26-'B.1 '!$L$25))*(T90-'B.1 '!$L$25),0))</f>
        <v>16.875</v>
      </c>
      <c r="V90" s="421"/>
      <c r="W90" s="297">
        <v>70</v>
      </c>
      <c r="X90" s="297">
        <f>IF(W90&lt;='B.1 '!$L$28,'B.1 '!$M$28,IF(AND(W90&lt;='B.1 '!$L$27,W90&gt;'B.1 '!$L$28),0+(('B.1 '!$M$28-'B.1 '!$M$27)/('B.1 '!$L$28-'B.1 '!$L$27))*(W90-'B.1 '!$L$27),0))</f>
        <v>111.42857142857142</v>
      </c>
      <c r="Y90" s="421"/>
      <c r="Z90" s="297">
        <v>7</v>
      </c>
      <c r="AA90" s="297">
        <f>IF(Z90&lt;='B.1 '!$L$30,'B.1 '!$M$30,IF(AND(Z90&lt;='B.1 '!$L$29,Z90&gt;'B.1 '!$L$30),0+(('B.1 '!$M$30-'B.1 '!$M$29)/('B.1 '!$L$30-'B.1 '!$L$29))*(Z90-'B.1 '!$L$29),0))</f>
        <v>135</v>
      </c>
      <c r="AB90" s="146"/>
    </row>
    <row r="91" spans="2:28">
      <c r="B91" s="145"/>
      <c r="C91" s="296">
        <v>37.5</v>
      </c>
      <c r="D91" s="296">
        <f>IF(C91&lt;='B.1 '!$G$24,'B.1 '!$H$24,IF(AND(C91&lt;='B.1 '!$G$23,C91&gt;'B.1 '!$G$24),0+(('B.1 '!$H$24-'B.1 '!$H$23)/('B.1 '!$G$24-'B.1 '!$G$23))*(C91-'B.1 '!$G$23),0))</f>
        <v>12.5</v>
      </c>
      <c r="E91" s="419"/>
      <c r="F91" s="296">
        <v>7.5</v>
      </c>
      <c r="G91" s="296">
        <f>IF(F91&lt;='B.1 '!$G$26,'B.1 '!$H$26,IF(AND(F91&lt;='B.1 '!$G$25,F91&gt;'B.1 '!$G$26),0+(('B.1 '!$H$26-'B.1 '!$H$25)/('B.1 '!$G$26-'B.1 '!$G$25))*(F91-'B.1 '!$G$25),0))</f>
        <v>0</v>
      </c>
      <c r="H91" s="419"/>
      <c r="I91" s="296">
        <v>75</v>
      </c>
      <c r="J91" s="296">
        <f>IF(I91&lt;='B.1 '!$G$28,'B.1 '!$H$28,IF(AND(I91&lt;='B.1 '!$G$27,I91&gt;'B.1 '!$G$28),0+(('B.1 '!$H$28-'B.1 '!$H$27)/('B.1 '!$G$28-'B.1 '!$G$27))*(I91-'B.1 '!$G$27),0))</f>
        <v>105</v>
      </c>
      <c r="K91" s="419"/>
      <c r="L91" s="296">
        <v>7.5</v>
      </c>
      <c r="M91" s="296">
        <f>IF(L91&lt;='B.1 '!$G$30,'B.1 '!$H$30,IF(AND(L91&lt;='B.1 '!$G$29,L91&gt;'B.1 '!$G$30),0+(('B.1 '!$H$30-'B.1 '!$H$29)/('B.1 '!$G$30-'B.1 '!$G$29))*(L91-'B.1 '!$G$29),0))</f>
        <v>135</v>
      </c>
      <c r="N91" s="276"/>
      <c r="O91" s="295"/>
      <c r="P91" s="420"/>
      <c r="Q91" s="297">
        <v>15</v>
      </c>
      <c r="R91" s="297">
        <f>IF(Q91&lt;='B.1 '!$L$24,'B.1 '!$M$24,IF(AND(Q91&lt;='B.1 '!$L$23,Q91&gt;'B.1 '!$L$24),0+(('B.1 '!$M$24-'B.1 '!$M$23)/('B.1 '!$L$24-'B.1 '!$L$23))*(Q91-'B.1 '!$L$23),0))</f>
        <v>50</v>
      </c>
      <c r="S91" s="421"/>
      <c r="T91" s="297">
        <v>7.5</v>
      </c>
      <c r="U91" s="297">
        <f>IF(T91&lt;='B.1 '!$L$26,'B.1 '!$M$26,IF(AND(T91&lt;='B.1 '!$L$25,T91&gt;'B.1 '!$L$26),0+(('B.1 '!$M$26-'B.1 '!$M$25)/('B.1 '!$L$26-'B.1 '!$L$25))*(T91-'B.1 '!$L$25),0))</f>
        <v>14.0625</v>
      </c>
      <c r="V91" s="421"/>
      <c r="W91" s="297">
        <v>75</v>
      </c>
      <c r="X91" s="297">
        <f>IF(W91&lt;='B.1 '!$L$28,'B.1 '!$M$28,IF(AND(W91&lt;='B.1 '!$L$27,W91&gt;'B.1 '!$L$28),0+(('B.1 '!$M$28-'B.1 '!$M$27)/('B.1 '!$L$28-'B.1 '!$L$27))*(W91-'B.1 '!$L$27),0))</f>
        <v>107.14285714285714</v>
      </c>
      <c r="Y91" s="421"/>
      <c r="Z91" s="297">
        <v>7.5</v>
      </c>
      <c r="AA91" s="297">
        <f>IF(Z91&lt;='B.1 '!$L$30,'B.1 '!$M$30,IF(AND(Z91&lt;='B.1 '!$L$29,Z91&gt;'B.1 '!$L$30),0+(('B.1 '!$M$30-'B.1 '!$M$29)/('B.1 '!$L$30-'B.1 '!$L$29))*(Z91-'B.1 '!$L$29),0))</f>
        <v>135</v>
      </c>
      <c r="AB91" s="146"/>
    </row>
    <row r="92" spans="2:28">
      <c r="B92" s="145"/>
      <c r="C92" s="296">
        <v>40</v>
      </c>
      <c r="D92" s="296">
        <f>IF(C92&lt;='B.1 '!$G$24,'B.1 '!$H$24,IF(AND(C92&lt;='B.1 '!$G$23,C92&gt;'B.1 '!$G$24),0+(('B.1 '!$H$24-'B.1 '!$H$23)/('B.1 '!$G$24-'B.1 '!$G$23))*(C92-'B.1 '!$G$23),0))</f>
        <v>8.3333333333333339</v>
      </c>
      <c r="E92" s="419"/>
      <c r="F92" s="296">
        <v>8</v>
      </c>
      <c r="G92" s="296">
        <f>IF(F92&lt;='B.1 '!$G$26,'B.1 '!$H$26,IF(AND(F92&lt;='B.1 '!$G$25,F92&gt;'B.1 '!$G$26),0+(('B.1 '!$H$26-'B.1 '!$H$25)/('B.1 '!$G$26-'B.1 '!$G$25))*(F92-'B.1 '!$G$25),0))</f>
        <v>0</v>
      </c>
      <c r="H92" s="419"/>
      <c r="I92" s="296">
        <v>80</v>
      </c>
      <c r="J92" s="296">
        <f>IF(I92&lt;='B.1 '!$G$28,'B.1 '!$H$28,IF(AND(I92&lt;='B.1 '!$G$27,I92&gt;'B.1 '!$G$28),0+(('B.1 '!$H$28-'B.1 '!$H$27)/('B.1 '!$G$28-'B.1 '!$G$27))*(I92-'B.1 '!$G$27),0))</f>
        <v>100</v>
      </c>
      <c r="K92" s="419"/>
      <c r="L92" s="296">
        <v>8</v>
      </c>
      <c r="M92" s="296">
        <f>IF(L92&lt;='B.1 '!$G$30,'B.1 '!$H$30,IF(AND(L92&lt;='B.1 '!$G$29,L92&gt;'B.1 '!$G$30),0+(('B.1 '!$H$30-'B.1 '!$H$29)/('B.1 '!$G$30-'B.1 '!$G$29))*(L92-'B.1 '!$G$29),0))</f>
        <v>135</v>
      </c>
      <c r="N92" s="276"/>
      <c r="O92" s="295"/>
      <c r="P92" s="420"/>
      <c r="Q92" s="297">
        <v>16</v>
      </c>
      <c r="R92" s="297">
        <f>IF(Q92&lt;='B.1 '!$L$24,'B.1 '!$M$24,IF(AND(Q92&lt;='B.1 '!$L$23,Q92&gt;'B.1 '!$L$24),0+(('B.1 '!$M$24-'B.1 '!$M$23)/('B.1 '!$L$24-'B.1 '!$L$23))*(Q92-'B.1 '!$L$23),0))</f>
        <v>50</v>
      </c>
      <c r="S92" s="421"/>
      <c r="T92" s="297">
        <v>8</v>
      </c>
      <c r="U92" s="297">
        <f>IF(T92&lt;='B.1 '!$L$26,'B.1 '!$M$26,IF(AND(T92&lt;='B.1 '!$L$25,T92&gt;'B.1 '!$L$26),0+(('B.1 '!$M$26-'B.1 '!$M$25)/('B.1 '!$L$26-'B.1 '!$L$25))*(T92-'B.1 '!$L$25),0))</f>
        <v>11.25</v>
      </c>
      <c r="V92" s="421"/>
      <c r="W92" s="297">
        <v>80</v>
      </c>
      <c r="X92" s="297">
        <f>IF(W92&lt;='B.1 '!$L$28,'B.1 '!$M$28,IF(AND(W92&lt;='B.1 '!$L$27,W92&gt;'B.1 '!$L$28),0+(('B.1 '!$M$28-'B.1 '!$M$27)/('B.1 '!$L$28-'B.1 '!$L$27))*(W92-'B.1 '!$L$27),0))</f>
        <v>102.85714285714285</v>
      </c>
      <c r="Y92" s="421"/>
      <c r="Z92" s="297">
        <v>8</v>
      </c>
      <c r="AA92" s="297">
        <f>IF(Z92&lt;='B.1 '!$L$30,'B.1 '!$M$30,IF(AND(Z92&lt;='B.1 '!$L$29,Z92&gt;'B.1 '!$L$30),0+(('B.1 '!$M$30-'B.1 '!$M$29)/('B.1 '!$L$30-'B.1 '!$L$29))*(Z92-'B.1 '!$L$29),0))</f>
        <v>135</v>
      </c>
      <c r="AB92" s="146"/>
    </row>
    <row r="93" spans="2:28">
      <c r="B93" s="145"/>
      <c r="C93" s="296">
        <v>42.5</v>
      </c>
      <c r="D93" s="296">
        <f>IF(C93&lt;='B.1 '!$G$24,'B.1 '!$H$24,IF(AND(C93&lt;='B.1 '!$G$23,C93&gt;'B.1 '!$G$24),0+(('B.1 '!$H$24-'B.1 '!$H$23)/('B.1 '!$G$24-'B.1 '!$G$23))*(C93-'B.1 '!$G$23),0))</f>
        <v>4.166666666666667</v>
      </c>
      <c r="E93" s="419"/>
      <c r="F93" s="296">
        <v>8.5</v>
      </c>
      <c r="G93" s="296">
        <f>IF(F93&lt;='B.1 '!$G$26,'B.1 '!$H$26,IF(AND(F93&lt;='B.1 '!$G$25,F93&gt;'B.1 '!$G$26),0+(('B.1 '!$H$26-'B.1 '!$H$25)/('B.1 '!$G$26-'B.1 '!$G$25))*(F93-'B.1 '!$G$25),0))</f>
        <v>0</v>
      </c>
      <c r="H93" s="419"/>
      <c r="I93" s="296">
        <v>85</v>
      </c>
      <c r="J93" s="296">
        <f>IF(I93&lt;='B.1 '!$G$28,'B.1 '!$H$28,IF(AND(I93&lt;='B.1 '!$G$27,I93&gt;'B.1 '!$G$28),0+(('B.1 '!$H$28-'B.1 '!$H$27)/('B.1 '!$G$28-'B.1 '!$G$27))*(I93-'B.1 '!$G$27),0))</f>
        <v>95</v>
      </c>
      <c r="K93" s="419"/>
      <c r="L93" s="296">
        <v>8.5</v>
      </c>
      <c r="M93" s="296">
        <f>IF(L93&lt;='B.1 '!$G$30,'B.1 '!$H$30,IF(AND(L93&lt;='B.1 '!$G$29,L93&gt;'B.1 '!$G$30),0+(('B.1 '!$H$30-'B.1 '!$H$29)/('B.1 '!$G$30-'B.1 '!$G$29))*(L93-'B.1 '!$G$29),0))</f>
        <v>135</v>
      </c>
      <c r="N93" s="276"/>
      <c r="O93" s="295"/>
      <c r="P93" s="420"/>
      <c r="Q93" s="297">
        <v>17</v>
      </c>
      <c r="R93" s="297">
        <f>IF(Q93&lt;='B.1 '!$L$24,'B.1 '!$M$24,IF(AND(Q93&lt;='B.1 '!$L$23,Q93&gt;'B.1 '!$L$24),0+(('B.1 '!$M$24-'B.1 '!$M$23)/('B.1 '!$L$24-'B.1 '!$L$23))*(Q93-'B.1 '!$L$23),0))</f>
        <v>50</v>
      </c>
      <c r="S93" s="421"/>
      <c r="T93" s="297">
        <v>8.5</v>
      </c>
      <c r="U93" s="297">
        <f>IF(T93&lt;='B.1 '!$L$26,'B.1 '!$M$26,IF(AND(T93&lt;='B.1 '!$L$25,T93&gt;'B.1 '!$L$26),0+(('B.1 '!$M$26-'B.1 '!$M$25)/('B.1 '!$L$26-'B.1 '!$L$25))*(T93-'B.1 '!$L$25),0))</f>
        <v>8.4375</v>
      </c>
      <c r="V93" s="421"/>
      <c r="W93" s="297">
        <v>85</v>
      </c>
      <c r="X93" s="297">
        <f>IF(W93&lt;='B.1 '!$L$28,'B.1 '!$M$28,IF(AND(W93&lt;='B.1 '!$L$27,W93&gt;'B.1 '!$L$28),0+(('B.1 '!$M$28-'B.1 '!$M$27)/('B.1 '!$L$28-'B.1 '!$L$27))*(W93-'B.1 '!$L$27),0))</f>
        <v>98.571428571428569</v>
      </c>
      <c r="Y93" s="421"/>
      <c r="Z93" s="297">
        <v>8.5</v>
      </c>
      <c r="AA93" s="297">
        <f>IF(Z93&lt;='B.1 '!$L$30,'B.1 '!$M$30,IF(AND(Z93&lt;='B.1 '!$L$29,Z93&gt;'B.1 '!$L$30),0+(('B.1 '!$M$30-'B.1 '!$M$29)/('B.1 '!$L$30-'B.1 '!$L$29))*(Z93-'B.1 '!$L$29),0))</f>
        <v>135</v>
      </c>
      <c r="AB93" s="146"/>
    </row>
    <row r="94" spans="2:28">
      <c r="B94" s="145"/>
      <c r="C94" s="296">
        <v>45</v>
      </c>
      <c r="D94" s="296">
        <f>IF(C94&lt;='B.1 '!$G$24,'B.1 '!$H$24,IF(AND(C94&lt;='B.1 '!$G$23,C94&gt;'B.1 '!$G$24),0+(('B.1 '!$H$24-'B.1 '!$H$23)/('B.1 '!$G$24-'B.1 '!$G$23))*(C94-'B.1 '!$G$23),0))</f>
        <v>0</v>
      </c>
      <c r="E94" s="419"/>
      <c r="F94" s="296">
        <v>9</v>
      </c>
      <c r="G94" s="296">
        <f>IF(F94&lt;='B.1 '!$G$26,'B.1 '!$H$26,IF(AND(F94&lt;='B.1 '!$G$25,F94&gt;'B.1 '!$G$26),0+(('B.1 '!$H$26-'B.1 '!$H$25)/('B.1 '!$G$26-'B.1 '!$G$25))*(F94-'B.1 '!$G$25),0))</f>
        <v>0</v>
      </c>
      <c r="H94" s="419"/>
      <c r="I94" s="296">
        <v>90</v>
      </c>
      <c r="J94" s="296">
        <f>IF(I94&lt;='B.1 '!$G$28,'B.1 '!$H$28,IF(AND(I94&lt;='B.1 '!$G$27,I94&gt;'B.1 '!$G$28),0+(('B.1 '!$H$28-'B.1 '!$H$27)/('B.1 '!$G$28-'B.1 '!$G$27))*(I94-'B.1 '!$G$27),0))</f>
        <v>90</v>
      </c>
      <c r="K94" s="419"/>
      <c r="L94" s="296">
        <v>9</v>
      </c>
      <c r="M94" s="296">
        <f>IF(L94&lt;='B.1 '!$G$30,'B.1 '!$H$30,IF(AND(L94&lt;='B.1 '!$G$29,L94&gt;'B.1 '!$G$30),0+(('B.1 '!$H$30-'B.1 '!$H$29)/('B.1 '!$G$30-'B.1 '!$G$29))*(L94-'B.1 '!$G$29),0))</f>
        <v>135</v>
      </c>
      <c r="N94" s="276"/>
      <c r="O94" s="295"/>
      <c r="P94" s="420"/>
      <c r="Q94" s="297">
        <v>18</v>
      </c>
      <c r="R94" s="297">
        <f>IF(Q94&lt;='B.1 '!$L$24,'B.1 '!$M$24,IF(AND(Q94&lt;='B.1 '!$L$23,Q94&gt;'B.1 '!$L$24),0+(('B.1 '!$M$24-'B.1 '!$M$23)/('B.1 '!$L$24-'B.1 '!$L$23))*(Q94-'B.1 '!$L$23),0))</f>
        <v>50</v>
      </c>
      <c r="S94" s="421"/>
      <c r="T94" s="297">
        <v>9</v>
      </c>
      <c r="U94" s="297">
        <f>IF(T94&lt;='B.1 '!$L$26,'B.1 '!$M$26,IF(AND(T94&lt;='B.1 '!$L$25,T94&gt;'B.1 '!$L$26),0+(('B.1 '!$M$26-'B.1 '!$M$25)/('B.1 '!$L$26-'B.1 '!$L$25))*(T94-'B.1 '!$L$25),0))</f>
        <v>5.625</v>
      </c>
      <c r="V94" s="421"/>
      <c r="W94" s="297">
        <v>90</v>
      </c>
      <c r="X94" s="297">
        <f>IF(W94&lt;='B.1 '!$L$28,'B.1 '!$M$28,IF(AND(W94&lt;='B.1 '!$L$27,W94&gt;'B.1 '!$L$28),0+(('B.1 '!$M$28-'B.1 '!$M$27)/('B.1 '!$L$28-'B.1 '!$L$27))*(W94-'B.1 '!$L$27),0))</f>
        <v>94.285714285714278</v>
      </c>
      <c r="Y94" s="421"/>
      <c r="Z94" s="297">
        <v>9</v>
      </c>
      <c r="AA94" s="297">
        <f>IF(Z94&lt;='B.1 '!$L$30,'B.1 '!$M$30,IF(AND(Z94&lt;='B.1 '!$L$29,Z94&gt;'B.1 '!$L$30),0+(('B.1 '!$M$30-'B.1 '!$M$29)/('B.1 '!$L$30-'B.1 '!$L$29))*(Z94-'B.1 '!$L$29),0))</f>
        <v>135</v>
      </c>
      <c r="AB94" s="146"/>
    </row>
    <row r="95" spans="2:28">
      <c r="B95" s="145"/>
      <c r="C95" s="296">
        <v>46</v>
      </c>
      <c r="D95" s="296">
        <f>IF(C95&lt;='B.1 '!$G$24,'B.1 '!$H$24,IF(AND(C95&lt;='B.1 '!$G$23,C95&gt;'B.1 '!$G$24),0+(('B.1 '!$H$24-'B.1 '!$H$23)/('B.1 '!$G$24-'B.1 '!$G$23))*(C95-'B.1 '!$G$23),0))</f>
        <v>0</v>
      </c>
      <c r="E95" s="419"/>
      <c r="F95" s="296">
        <v>9.5</v>
      </c>
      <c r="G95" s="296">
        <f>IF(F95&lt;='B.1 '!$G$26,'B.1 '!$H$26,IF(AND(F95&lt;='B.1 '!$G$25,F95&gt;'B.1 '!$G$26),0+(('B.1 '!$H$26-'B.1 '!$H$25)/('B.1 '!$G$26-'B.1 '!$G$25))*(F95-'B.1 '!$G$25),0))</f>
        <v>0</v>
      </c>
      <c r="H95" s="419"/>
      <c r="I95" s="296">
        <v>95</v>
      </c>
      <c r="J95" s="296">
        <f>IF(I95&lt;='B.1 '!$G$28,'B.1 '!$H$28,IF(AND(I95&lt;='B.1 '!$G$27,I95&gt;'B.1 '!$G$28),0+(('B.1 '!$H$28-'B.1 '!$H$27)/('B.1 '!$G$28-'B.1 '!$G$27))*(I95-'B.1 '!$G$27),0))</f>
        <v>85</v>
      </c>
      <c r="K95" s="419"/>
      <c r="L95" s="296">
        <v>9.5</v>
      </c>
      <c r="M95" s="296">
        <f>IF(L95&lt;='B.1 '!$G$30,'B.1 '!$H$30,IF(AND(L95&lt;='B.1 '!$G$29,L95&gt;'B.1 '!$G$30),0+(('B.1 '!$H$30-'B.1 '!$H$29)/('B.1 '!$G$30-'B.1 '!$G$29))*(L95-'B.1 '!$G$29),0))</f>
        <v>135</v>
      </c>
      <c r="N95" s="276"/>
      <c r="O95" s="295"/>
      <c r="P95" s="420"/>
      <c r="Q95" s="297">
        <v>19</v>
      </c>
      <c r="R95" s="297">
        <f>IF(Q95&lt;='B.1 '!$L$24,'B.1 '!$M$24,IF(AND(Q95&lt;='B.1 '!$L$23,Q95&gt;'B.1 '!$L$24),0+(('B.1 '!$M$24-'B.1 '!$M$23)/('B.1 '!$L$24-'B.1 '!$L$23))*(Q95-'B.1 '!$L$23),0))</f>
        <v>50</v>
      </c>
      <c r="S95" s="421"/>
      <c r="T95" s="297">
        <v>9.5</v>
      </c>
      <c r="U95" s="297">
        <f>IF(T95&lt;='B.1 '!$L$26,'B.1 '!$M$26,IF(AND(T95&lt;='B.1 '!$L$25,T95&gt;'B.1 '!$L$26),0+(('B.1 '!$M$26-'B.1 '!$M$25)/('B.1 '!$L$26-'B.1 '!$L$25))*(T95-'B.1 '!$L$25),0))</f>
        <v>2.8125</v>
      </c>
      <c r="V95" s="421"/>
      <c r="W95" s="297">
        <v>95</v>
      </c>
      <c r="X95" s="297">
        <f>IF(W95&lt;='B.1 '!$L$28,'B.1 '!$M$28,IF(AND(W95&lt;='B.1 '!$L$27,W95&gt;'B.1 '!$L$28),0+(('B.1 '!$M$28-'B.1 '!$M$27)/('B.1 '!$L$28-'B.1 '!$L$27))*(W95-'B.1 '!$L$27),0))</f>
        <v>90</v>
      </c>
      <c r="Y95" s="421"/>
      <c r="Z95" s="297">
        <v>9.5</v>
      </c>
      <c r="AA95" s="297">
        <f>IF(Z95&lt;='B.1 '!$L$30,'B.1 '!$M$30,IF(AND(Z95&lt;='B.1 '!$L$29,Z95&gt;'B.1 '!$L$30),0+(('B.1 '!$M$30-'B.1 '!$M$29)/('B.1 '!$L$30-'B.1 '!$L$29))*(Z95-'B.1 '!$L$29),0))</f>
        <v>135</v>
      </c>
      <c r="AB95" s="146"/>
    </row>
    <row r="96" spans="2:28">
      <c r="B96" s="145"/>
      <c r="C96" s="296">
        <v>47</v>
      </c>
      <c r="D96" s="296">
        <f>IF(C96&lt;='B.1 '!$G$24,'B.1 '!$H$24,IF(AND(C96&lt;='B.1 '!$G$23,C96&gt;'B.1 '!$G$24),0+(('B.1 '!$H$24-'B.1 '!$H$23)/('B.1 '!$G$24-'B.1 '!$G$23))*(C96-'B.1 '!$G$23),0))</f>
        <v>0</v>
      </c>
      <c r="E96" s="419"/>
      <c r="F96" s="296">
        <v>10</v>
      </c>
      <c r="G96" s="296">
        <f>IF(F96&lt;='B.1 '!$G$26,'B.1 '!$H$26,IF(AND(F96&lt;='B.1 '!$G$25,F96&gt;'B.1 '!$G$26),0+(('B.1 '!$H$26-'B.1 '!$H$25)/('B.1 '!$G$26-'B.1 '!$G$25))*(F96-'B.1 '!$G$25),0))</f>
        <v>0</v>
      </c>
      <c r="H96" s="419"/>
      <c r="I96" s="296">
        <v>100</v>
      </c>
      <c r="J96" s="296">
        <f>IF(I96&lt;='B.1 '!$G$28,'B.1 '!$H$28,IF(AND(I96&lt;='B.1 '!$G$27,I96&gt;'B.1 '!$G$28),0+(('B.1 '!$H$28-'B.1 '!$H$27)/('B.1 '!$G$28-'B.1 '!$G$27))*(I96-'B.1 '!$G$27),0))</f>
        <v>80</v>
      </c>
      <c r="K96" s="419"/>
      <c r="L96" s="296">
        <v>10</v>
      </c>
      <c r="M96" s="296">
        <f>IF(L96&lt;='B.1 '!$G$30,'B.1 '!$H$30,IF(AND(L96&lt;='B.1 '!$G$29,L96&gt;'B.1 '!$G$30),0+(('B.1 '!$H$30-'B.1 '!$H$29)/('B.1 '!$G$30-'B.1 '!$G$29))*(L96-'B.1 '!$G$29),0))</f>
        <v>135</v>
      </c>
      <c r="N96" s="276"/>
      <c r="O96" s="295"/>
      <c r="P96" s="420"/>
      <c r="Q96" s="297">
        <v>20</v>
      </c>
      <c r="R96" s="297">
        <f>IF(Q96&lt;='B.1 '!$L$24,'B.1 '!$M$24,IF(AND(Q96&lt;='B.1 '!$L$23,Q96&gt;'B.1 '!$L$24),0+(('B.1 '!$M$24-'B.1 '!$M$23)/('B.1 '!$L$24-'B.1 '!$L$23))*(Q96-'B.1 '!$L$23),0))</f>
        <v>50</v>
      </c>
      <c r="S96" s="421"/>
      <c r="T96" s="297">
        <v>10</v>
      </c>
      <c r="U96" s="297">
        <f>IF(T96&lt;='B.1 '!$L$26,'B.1 '!$M$26,IF(AND(T96&lt;='B.1 '!$L$25,T96&gt;'B.1 '!$L$26),0+(('B.1 '!$M$26-'B.1 '!$M$25)/('B.1 '!$L$26-'B.1 '!$L$25))*(T96-'B.1 '!$L$25),0))</f>
        <v>0</v>
      </c>
      <c r="V96" s="421"/>
      <c r="W96" s="297">
        <v>100</v>
      </c>
      <c r="X96" s="297">
        <f>IF(W96&lt;='B.1 '!$L$28,'B.1 '!$M$28,IF(AND(W96&lt;='B.1 '!$L$27,W96&gt;'B.1 '!$L$28),0+(('B.1 '!$M$28-'B.1 '!$M$27)/('B.1 '!$L$28-'B.1 '!$L$27))*(W96-'B.1 '!$L$27),0))</f>
        <v>85.714285714285708</v>
      </c>
      <c r="Y96" s="421"/>
      <c r="Z96" s="297">
        <v>10</v>
      </c>
      <c r="AA96" s="297">
        <f>IF(Z96&lt;='B.1 '!$L$30,'B.1 '!$M$30,IF(AND(Z96&lt;='B.1 '!$L$29,Z96&gt;'B.1 '!$L$30),0+(('B.1 '!$M$30-'B.1 '!$M$29)/('B.1 '!$L$30-'B.1 '!$L$29))*(Z96-'B.1 '!$L$29),0))</f>
        <v>135</v>
      </c>
      <c r="AB96" s="146"/>
    </row>
    <row r="97" spans="2:28">
      <c r="B97" s="145"/>
      <c r="C97" s="296">
        <v>48</v>
      </c>
      <c r="D97" s="296">
        <f>IF(C97&lt;='B.1 '!$G$24,'B.1 '!$H$24,IF(AND(C97&lt;='B.1 '!$G$23,C97&gt;'B.1 '!$G$24),0+(('B.1 '!$H$24-'B.1 '!$H$23)/('B.1 '!$G$24-'B.1 '!$G$23))*(C97-'B.1 '!$G$23),0))</f>
        <v>0</v>
      </c>
      <c r="E97" s="419"/>
      <c r="F97" s="296">
        <v>10.5</v>
      </c>
      <c r="G97" s="296">
        <f>IF(F97&lt;='B.1 '!$G$26,'B.1 '!$H$26,IF(AND(F97&lt;='B.1 '!$G$25,F97&gt;'B.1 '!$G$26),0+(('B.1 '!$H$26-'B.1 '!$H$25)/('B.1 '!$G$26-'B.1 '!$G$25))*(F97-'B.1 '!$G$25),0))</f>
        <v>0</v>
      </c>
      <c r="H97" s="419"/>
      <c r="I97" s="296">
        <v>105</v>
      </c>
      <c r="J97" s="296">
        <f>IF(I97&lt;='B.1 '!$G$28,'B.1 '!$H$28,IF(AND(I97&lt;='B.1 '!$G$27,I97&gt;'B.1 '!$G$28),0+(('B.1 '!$H$28-'B.1 '!$H$27)/('B.1 '!$G$28-'B.1 '!$G$27))*(I97-'B.1 '!$G$27),0))</f>
        <v>75</v>
      </c>
      <c r="K97" s="419"/>
      <c r="L97" s="296">
        <v>10.5</v>
      </c>
      <c r="M97" s="296">
        <f>IF(L97&lt;='B.1 '!$G$30,'B.1 '!$H$30,IF(AND(L97&lt;='B.1 '!$G$29,L97&gt;'B.1 '!$G$30),0+(('B.1 '!$H$30-'B.1 '!$H$29)/('B.1 '!$G$30-'B.1 '!$G$29))*(L97-'B.1 '!$G$29),0))</f>
        <v>135</v>
      </c>
      <c r="N97" s="276"/>
      <c r="O97" s="295"/>
      <c r="P97" s="420"/>
      <c r="Q97" s="297">
        <v>21</v>
      </c>
      <c r="R97" s="297">
        <f>IF(Q97&lt;='B.1 '!$L$24,'B.1 '!$M$24,IF(AND(Q97&lt;='B.1 '!$L$23,Q97&gt;'B.1 '!$L$24),0+(('B.1 '!$M$24-'B.1 '!$M$23)/('B.1 '!$L$24-'B.1 '!$L$23))*(Q97-'B.1 '!$L$23),0))</f>
        <v>50</v>
      </c>
      <c r="S97" s="421"/>
      <c r="T97" s="297">
        <v>10.5</v>
      </c>
      <c r="U97" s="297">
        <f>IF(T97&lt;='B.1 '!$L$26,'B.1 '!$M$26,IF(AND(T97&lt;='B.1 '!$L$25,T97&gt;'B.1 '!$L$26),0+(('B.1 '!$M$26-'B.1 '!$M$25)/('B.1 '!$L$26-'B.1 '!$L$25))*(T97-'B.1 '!$L$25),0))</f>
        <v>0</v>
      </c>
      <c r="V97" s="421"/>
      <c r="W97" s="297">
        <v>105</v>
      </c>
      <c r="X97" s="297">
        <f>IF(W97&lt;='B.1 '!$L$28,'B.1 '!$M$28,IF(AND(W97&lt;='B.1 '!$L$27,W97&gt;'B.1 '!$L$28),0+(('B.1 '!$M$28-'B.1 '!$M$27)/('B.1 '!$L$28-'B.1 '!$L$27))*(W97-'B.1 '!$L$27),0))</f>
        <v>81.428571428571431</v>
      </c>
      <c r="Y97" s="421"/>
      <c r="Z97" s="297">
        <v>10.5</v>
      </c>
      <c r="AA97" s="297">
        <f>IF(Z97&lt;='B.1 '!$L$30,'B.1 '!$M$30,IF(AND(Z97&lt;='B.1 '!$L$29,Z97&gt;'B.1 '!$L$30),0+(('B.1 '!$M$30-'B.1 '!$M$29)/('B.1 '!$L$30-'B.1 '!$L$29))*(Z97-'B.1 '!$L$29),0))</f>
        <v>135</v>
      </c>
      <c r="AB97" s="146"/>
    </row>
    <row r="98" spans="2:28">
      <c r="B98" s="145"/>
      <c r="C98" s="296">
        <v>49</v>
      </c>
      <c r="D98" s="296">
        <f>IF(C98&lt;='B.1 '!$G$24,'B.1 '!$H$24,IF(AND(C98&lt;='B.1 '!$G$23,C98&gt;'B.1 '!$G$24),0+(('B.1 '!$H$24-'B.1 '!$H$23)/('B.1 '!$G$24-'B.1 '!$G$23))*(C98-'B.1 '!$G$23),0))</f>
        <v>0</v>
      </c>
      <c r="E98" s="419"/>
      <c r="F98" s="296">
        <v>11</v>
      </c>
      <c r="G98" s="296">
        <f>IF(F98&lt;='B.1 '!$G$26,'B.1 '!$H$26,IF(AND(F98&lt;='B.1 '!$G$25,F98&gt;'B.1 '!$G$26),0+(('B.1 '!$H$26-'B.1 '!$H$25)/('B.1 '!$G$26-'B.1 '!$G$25))*(F98-'B.1 '!$G$25),0))</f>
        <v>0</v>
      </c>
      <c r="H98" s="419"/>
      <c r="I98" s="296">
        <v>110</v>
      </c>
      <c r="J98" s="296">
        <f>IF(I98&lt;='B.1 '!$G$28,'B.1 '!$H$28,IF(AND(I98&lt;='B.1 '!$G$27,I98&gt;'B.1 '!$G$28),0+(('B.1 '!$H$28-'B.1 '!$H$27)/('B.1 '!$G$28-'B.1 '!$G$27))*(I98-'B.1 '!$G$27),0))</f>
        <v>70</v>
      </c>
      <c r="K98" s="419"/>
      <c r="L98" s="296">
        <v>11</v>
      </c>
      <c r="M98" s="296">
        <f>IF(L98&lt;='B.1 '!$G$30,'B.1 '!$H$30,IF(AND(L98&lt;='B.1 '!$G$29,L98&gt;'B.1 '!$G$30),0+(('B.1 '!$H$30-'B.1 '!$H$29)/('B.1 '!$G$30-'B.1 '!$G$29))*(L98-'B.1 '!$G$29),0))</f>
        <v>135</v>
      </c>
      <c r="N98" s="276"/>
      <c r="O98" s="295"/>
      <c r="P98" s="420"/>
      <c r="Q98" s="297">
        <v>22</v>
      </c>
      <c r="R98" s="297">
        <f>IF(Q98&lt;='B.1 '!$L$24,'B.1 '!$M$24,IF(AND(Q98&lt;='B.1 '!$L$23,Q98&gt;'B.1 '!$L$24),0+(('B.1 '!$M$24-'B.1 '!$M$23)/('B.1 '!$L$24-'B.1 '!$L$23))*(Q98-'B.1 '!$L$23),0))</f>
        <v>50</v>
      </c>
      <c r="S98" s="421"/>
      <c r="T98" s="297">
        <v>11</v>
      </c>
      <c r="U98" s="297">
        <f>IF(T98&lt;='B.1 '!$L$26,'B.1 '!$M$26,IF(AND(T98&lt;='B.1 '!$L$25,T98&gt;'B.1 '!$L$26),0+(('B.1 '!$M$26-'B.1 '!$M$25)/('B.1 '!$L$26-'B.1 '!$L$25))*(T98-'B.1 '!$L$25),0))</f>
        <v>0</v>
      </c>
      <c r="V98" s="421"/>
      <c r="W98" s="297">
        <v>110</v>
      </c>
      <c r="X98" s="297">
        <f>IF(W98&lt;='B.1 '!$L$28,'B.1 '!$M$28,IF(AND(W98&lt;='B.1 '!$L$27,W98&gt;'B.1 '!$L$28),0+(('B.1 '!$M$28-'B.1 '!$M$27)/('B.1 '!$L$28-'B.1 '!$L$27))*(W98-'B.1 '!$L$27),0))</f>
        <v>77.142857142857139</v>
      </c>
      <c r="Y98" s="421"/>
      <c r="Z98" s="297">
        <v>11</v>
      </c>
      <c r="AA98" s="297">
        <f>IF(Z98&lt;='B.1 '!$L$30,'B.1 '!$M$30,IF(AND(Z98&lt;='B.1 '!$L$29,Z98&gt;'B.1 '!$L$30),0+(('B.1 '!$M$30-'B.1 '!$M$29)/('B.1 '!$L$30-'B.1 '!$L$29))*(Z98-'B.1 '!$L$29),0))</f>
        <v>135</v>
      </c>
      <c r="AB98" s="146"/>
    </row>
    <row r="99" spans="2:28">
      <c r="B99" s="145"/>
      <c r="C99" s="296">
        <v>50</v>
      </c>
      <c r="D99" s="296">
        <f>IF(C99&lt;='B.1 '!$G$24,'B.1 '!$H$24,IF(AND(C99&lt;='B.1 '!$G$23,C99&gt;'B.1 '!$G$24),0+(('B.1 '!$H$24-'B.1 '!$H$23)/('B.1 '!$G$24-'B.1 '!$G$23))*(C99-'B.1 '!$G$23),0))</f>
        <v>0</v>
      </c>
      <c r="E99" s="419"/>
      <c r="F99" s="296">
        <v>11.5</v>
      </c>
      <c r="G99" s="296">
        <f>IF(F99&lt;='B.1 '!$G$26,'B.1 '!$H$26,IF(AND(F99&lt;='B.1 '!$G$25,F99&gt;'B.1 '!$G$26),0+(('B.1 '!$H$26-'B.1 '!$H$25)/('B.1 '!$G$26-'B.1 '!$G$25))*(F99-'B.1 '!$G$25),0))</f>
        <v>0</v>
      </c>
      <c r="H99" s="419"/>
      <c r="I99" s="296">
        <v>115</v>
      </c>
      <c r="J99" s="296">
        <f>IF(I99&lt;='B.1 '!$G$28,'B.1 '!$H$28,IF(AND(I99&lt;='B.1 '!$G$27,I99&gt;'B.1 '!$G$28),0+(('B.1 '!$H$28-'B.1 '!$H$27)/('B.1 '!$G$28-'B.1 '!$G$27))*(I99-'B.1 '!$G$27),0))</f>
        <v>65</v>
      </c>
      <c r="K99" s="419"/>
      <c r="L99" s="296">
        <v>11.5</v>
      </c>
      <c r="M99" s="296">
        <f>IF(L99&lt;='B.1 '!$G$30,'B.1 '!$H$30,IF(AND(L99&lt;='B.1 '!$G$29,L99&gt;'B.1 '!$G$30),0+(('B.1 '!$H$30-'B.1 '!$H$29)/('B.1 '!$G$30-'B.1 '!$G$29))*(L99-'B.1 '!$G$29),0))</f>
        <v>135</v>
      </c>
      <c r="N99" s="276"/>
      <c r="O99" s="295"/>
      <c r="P99" s="420"/>
      <c r="Q99" s="297">
        <v>23</v>
      </c>
      <c r="R99" s="297">
        <f>IF(Q99&lt;='B.1 '!$L$24,'B.1 '!$M$24,IF(AND(Q99&lt;='B.1 '!$L$23,Q99&gt;'B.1 '!$L$24),0+(('B.1 '!$M$24-'B.1 '!$M$23)/('B.1 '!$L$24-'B.1 '!$L$23))*(Q99-'B.1 '!$L$23),0))</f>
        <v>50</v>
      </c>
      <c r="S99" s="421"/>
      <c r="T99" s="297">
        <v>11.5</v>
      </c>
      <c r="U99" s="297">
        <f>IF(T99&lt;='B.1 '!$L$26,'B.1 '!$M$26,IF(AND(T99&lt;='B.1 '!$L$25,T99&gt;'B.1 '!$L$26),0+(('B.1 '!$M$26-'B.1 '!$M$25)/('B.1 '!$L$26-'B.1 '!$L$25))*(T99-'B.1 '!$L$25),0))</f>
        <v>0</v>
      </c>
      <c r="V99" s="421"/>
      <c r="W99" s="297">
        <v>115</v>
      </c>
      <c r="X99" s="297">
        <f>IF(W99&lt;='B.1 '!$L$28,'B.1 '!$M$28,IF(AND(W99&lt;='B.1 '!$L$27,W99&gt;'B.1 '!$L$28),0+(('B.1 '!$M$28-'B.1 '!$M$27)/('B.1 '!$L$28-'B.1 '!$L$27))*(W99-'B.1 '!$L$27),0))</f>
        <v>72.857142857142847</v>
      </c>
      <c r="Y99" s="421"/>
      <c r="Z99" s="297">
        <v>11.5</v>
      </c>
      <c r="AA99" s="297">
        <f>IF(Z99&lt;='B.1 '!$L$30,'B.1 '!$M$30,IF(AND(Z99&lt;='B.1 '!$L$29,Z99&gt;'B.1 '!$L$30),0+(('B.1 '!$M$30-'B.1 '!$M$29)/('B.1 '!$L$30-'B.1 '!$L$29))*(Z99-'B.1 '!$L$29),0))</f>
        <v>135</v>
      </c>
      <c r="AB99" s="146"/>
    </row>
    <row r="100" spans="2:28">
      <c r="B100" s="145"/>
      <c r="C100" s="296">
        <v>51</v>
      </c>
      <c r="D100" s="296">
        <f>IF(C100&lt;='B.1 '!$G$24,'B.1 '!$H$24,IF(AND(C100&lt;='B.1 '!$G$23,C100&gt;'B.1 '!$G$24),0+(('B.1 '!$H$24-'B.1 '!$H$23)/('B.1 '!$G$24-'B.1 '!$G$23))*(C100-'B.1 '!$G$23),0))</f>
        <v>0</v>
      </c>
      <c r="E100" s="419"/>
      <c r="F100" s="296">
        <v>12</v>
      </c>
      <c r="G100" s="296">
        <f>IF(F100&lt;='B.1 '!$G$26,'B.1 '!$H$26,IF(AND(F100&lt;='B.1 '!$G$25,F100&gt;'B.1 '!$G$26),0+(('B.1 '!$H$26-'B.1 '!$H$25)/('B.1 '!$G$26-'B.1 '!$G$25))*(F100-'B.1 '!$G$25),0))</f>
        <v>0</v>
      </c>
      <c r="H100" s="419"/>
      <c r="I100" s="296">
        <v>120</v>
      </c>
      <c r="J100" s="296">
        <f>IF(I100&lt;='B.1 '!$G$28,'B.1 '!$H$28,IF(AND(I100&lt;='B.1 '!$G$27,I100&gt;'B.1 '!$G$28),0+(('B.1 '!$H$28-'B.1 '!$H$27)/('B.1 '!$G$28-'B.1 '!$G$27))*(I100-'B.1 '!$G$27),0))</f>
        <v>60</v>
      </c>
      <c r="K100" s="419"/>
      <c r="L100" s="296">
        <v>12</v>
      </c>
      <c r="M100" s="296">
        <f>IF(L100&lt;='B.1 '!$G$30,'B.1 '!$H$30,IF(AND(L100&lt;='B.1 '!$G$29,L100&gt;'B.1 '!$G$30),0+(('B.1 '!$H$30-'B.1 '!$H$29)/('B.1 '!$G$30-'B.1 '!$G$29))*(L100-'B.1 '!$G$29),0))</f>
        <v>135</v>
      </c>
      <c r="N100" s="276"/>
      <c r="O100" s="295"/>
      <c r="P100" s="420"/>
      <c r="Q100" s="297">
        <v>24</v>
      </c>
      <c r="R100" s="297">
        <f>IF(Q100&lt;='B.1 '!$L$24,'B.1 '!$M$24,IF(AND(Q100&lt;='B.1 '!$L$23,Q100&gt;'B.1 '!$L$24),0+(('B.1 '!$M$24-'B.1 '!$M$23)/('B.1 '!$L$24-'B.1 '!$L$23))*(Q100-'B.1 '!$L$23),0))</f>
        <v>50</v>
      </c>
      <c r="S100" s="421"/>
      <c r="T100" s="297">
        <v>12</v>
      </c>
      <c r="U100" s="297">
        <f>IF(T100&lt;='B.1 '!$L$26,'B.1 '!$M$26,IF(AND(T100&lt;='B.1 '!$L$25,T100&gt;'B.1 '!$L$26),0+(('B.1 '!$M$26-'B.1 '!$M$25)/('B.1 '!$L$26-'B.1 '!$L$25))*(T100-'B.1 '!$L$25),0))</f>
        <v>0</v>
      </c>
      <c r="V100" s="421"/>
      <c r="W100" s="297">
        <v>120</v>
      </c>
      <c r="X100" s="297">
        <f>IF(W100&lt;='B.1 '!$L$28,'B.1 '!$M$28,IF(AND(W100&lt;='B.1 '!$L$27,W100&gt;'B.1 '!$L$28),0+(('B.1 '!$M$28-'B.1 '!$M$27)/('B.1 '!$L$28-'B.1 '!$L$27))*(W100-'B.1 '!$L$27),0))</f>
        <v>68.571428571428569</v>
      </c>
      <c r="Y100" s="421"/>
      <c r="Z100" s="297">
        <v>12</v>
      </c>
      <c r="AA100" s="297">
        <f>IF(Z100&lt;='B.1 '!$L$30,'B.1 '!$M$30,IF(AND(Z100&lt;='B.1 '!$L$29,Z100&gt;'B.1 '!$L$30),0+(('B.1 '!$M$30-'B.1 '!$M$29)/('B.1 '!$L$30-'B.1 '!$L$29))*(Z100-'B.1 '!$L$29),0))</f>
        <v>135</v>
      </c>
      <c r="AB100" s="146"/>
    </row>
    <row r="101" spans="2:28">
      <c r="B101" s="145"/>
      <c r="C101" s="296">
        <v>52</v>
      </c>
      <c r="D101" s="296">
        <f>IF(C101&lt;='B.1 '!$G$24,'B.1 '!$H$24,IF(AND(C101&lt;='B.1 '!$G$23,C101&gt;'B.1 '!$G$24),0+(('B.1 '!$H$24-'B.1 '!$H$23)/('B.1 '!$G$24-'B.1 '!$G$23))*(C101-'B.1 '!$G$23),0))</f>
        <v>0</v>
      </c>
      <c r="E101" s="419"/>
      <c r="F101" s="296"/>
      <c r="G101" s="296"/>
      <c r="H101" s="419"/>
      <c r="I101" s="296">
        <v>125</v>
      </c>
      <c r="J101" s="296">
        <f>IF(I101&lt;='B.1 '!$G$28,'B.1 '!$H$28,IF(AND(I101&lt;='B.1 '!$G$27,I101&gt;'B.1 '!$G$28),0+(('B.1 '!$H$28-'B.1 '!$H$27)/('B.1 '!$G$28-'B.1 '!$G$27))*(I101-'B.1 '!$G$27),0))</f>
        <v>55</v>
      </c>
      <c r="K101" s="419"/>
      <c r="L101" s="296">
        <v>12.5</v>
      </c>
      <c r="M101" s="296">
        <f>IF(L101&lt;='B.1 '!$G$30,'B.1 '!$H$30,IF(AND(L101&lt;='B.1 '!$G$29,L101&gt;'B.1 '!$G$30),0+(('B.1 '!$H$30-'B.1 '!$H$29)/('B.1 '!$G$30-'B.1 '!$G$29))*(L101-'B.1 '!$G$29),0))</f>
        <v>135</v>
      </c>
      <c r="N101" s="276"/>
      <c r="O101" s="295"/>
      <c r="P101" s="420"/>
      <c r="Q101" s="297">
        <v>25</v>
      </c>
      <c r="R101" s="297">
        <f>IF(Q101&lt;='B.1 '!$L$24,'B.1 '!$M$24,IF(AND(Q101&lt;='B.1 '!$L$23,Q101&gt;'B.1 '!$L$24),0+(('B.1 '!$M$24-'B.1 '!$M$23)/('B.1 '!$L$24-'B.1 '!$L$23))*(Q101-'B.1 '!$L$23),0))</f>
        <v>50</v>
      </c>
      <c r="S101" s="421"/>
      <c r="T101" s="297"/>
      <c r="U101" s="297"/>
      <c r="V101" s="421"/>
      <c r="W101" s="297">
        <v>125</v>
      </c>
      <c r="X101" s="297">
        <f>IF(W101&lt;='B.1 '!$L$28,'B.1 '!$M$28,IF(AND(W101&lt;='B.1 '!$L$27,W101&gt;'B.1 '!$L$28),0+(('B.1 '!$M$28-'B.1 '!$M$27)/('B.1 '!$L$28-'B.1 '!$L$27))*(W101-'B.1 '!$L$27),0))</f>
        <v>64.285714285714278</v>
      </c>
      <c r="Y101" s="421"/>
      <c r="Z101" s="297">
        <v>12.5</v>
      </c>
      <c r="AA101" s="297">
        <f>IF(Z101&lt;='B.1 '!$L$30,'B.1 '!$M$30,IF(AND(Z101&lt;='B.1 '!$L$29,Z101&gt;'B.1 '!$L$30),0+(('B.1 '!$M$30-'B.1 '!$M$29)/('B.1 '!$L$30-'B.1 '!$L$29))*(Z101-'B.1 '!$L$29),0))</f>
        <v>135</v>
      </c>
      <c r="AB101" s="146"/>
    </row>
    <row r="102" spans="2:28">
      <c r="B102" s="145"/>
      <c r="C102" s="296">
        <v>53</v>
      </c>
      <c r="D102" s="296">
        <f>IF(C102&lt;='B.1 '!$G$24,'B.1 '!$H$24,IF(AND(C102&lt;='B.1 '!$G$23,C102&gt;'B.1 '!$G$24),0+(('B.1 '!$H$24-'B.1 '!$H$23)/('B.1 '!$G$24-'B.1 '!$G$23))*(C102-'B.1 '!$G$23),0))</f>
        <v>0</v>
      </c>
      <c r="E102" s="419"/>
      <c r="F102" s="296"/>
      <c r="G102" s="296"/>
      <c r="H102" s="419"/>
      <c r="I102" s="296">
        <v>130</v>
      </c>
      <c r="J102" s="296">
        <f>IF(I102&lt;='B.1 '!$G$28,'B.1 '!$H$28,IF(AND(I102&lt;='B.1 '!$G$27,I102&gt;'B.1 '!$G$28),0+(('B.1 '!$H$28-'B.1 '!$H$27)/('B.1 '!$G$28-'B.1 '!$G$27))*(I102-'B.1 '!$G$27),0))</f>
        <v>50</v>
      </c>
      <c r="K102" s="419"/>
      <c r="L102" s="296">
        <v>13</v>
      </c>
      <c r="M102" s="296">
        <f>IF(L102&lt;='B.1 '!$G$30,'B.1 '!$H$30,IF(AND(L102&lt;='B.1 '!$G$29,L102&gt;'B.1 '!$G$30),0+(('B.1 '!$H$30-'B.1 '!$H$29)/('B.1 '!$G$30-'B.1 '!$G$29))*(L102-'B.1 '!$G$29),0))</f>
        <v>135</v>
      </c>
      <c r="N102" s="276"/>
      <c r="O102" s="295"/>
      <c r="P102" s="420"/>
      <c r="Q102" s="297">
        <v>26</v>
      </c>
      <c r="R102" s="297">
        <f>IF(Q102&lt;='B.1 '!$L$24,'B.1 '!$M$24,IF(AND(Q102&lt;='B.1 '!$L$23,Q102&gt;'B.1 '!$L$24),0+(('B.1 '!$M$24-'B.1 '!$M$23)/('B.1 '!$L$24-'B.1 '!$L$23))*(Q102-'B.1 '!$L$23),0))</f>
        <v>48.484848484848484</v>
      </c>
      <c r="S102" s="421"/>
      <c r="T102" s="297"/>
      <c r="U102" s="297"/>
      <c r="V102" s="421"/>
      <c r="W102" s="297">
        <v>130</v>
      </c>
      <c r="X102" s="297">
        <f>IF(W102&lt;='B.1 '!$L$28,'B.1 '!$M$28,IF(AND(W102&lt;='B.1 '!$L$27,W102&gt;'B.1 '!$L$28),0+(('B.1 '!$M$28-'B.1 '!$M$27)/('B.1 '!$L$28-'B.1 '!$L$27))*(W102-'B.1 '!$L$27),0))</f>
        <v>60</v>
      </c>
      <c r="Y102" s="421"/>
      <c r="Z102" s="297">
        <v>13</v>
      </c>
      <c r="AA102" s="297">
        <f>IF(Z102&lt;='B.1 '!$L$30,'B.1 '!$M$30,IF(AND(Z102&lt;='B.1 '!$L$29,Z102&gt;'B.1 '!$L$30),0+(('B.1 '!$M$30-'B.1 '!$M$29)/('B.1 '!$L$30-'B.1 '!$L$29))*(Z102-'B.1 '!$L$29),0))</f>
        <v>135</v>
      </c>
      <c r="AB102" s="146"/>
    </row>
    <row r="103" spans="2:28">
      <c r="B103" s="145"/>
      <c r="C103" s="296">
        <v>54</v>
      </c>
      <c r="D103" s="296">
        <f>IF(C103&lt;='B.1 '!$G$24,'B.1 '!$H$24,IF(AND(C103&lt;='B.1 '!$G$23,C103&gt;'B.1 '!$G$24),0+(('B.1 '!$H$24-'B.1 '!$H$23)/('B.1 '!$G$24-'B.1 '!$G$23))*(C103-'B.1 '!$G$23),0))</f>
        <v>0</v>
      </c>
      <c r="E103" s="419"/>
      <c r="F103" s="296"/>
      <c r="G103" s="296"/>
      <c r="H103" s="419"/>
      <c r="I103" s="296">
        <v>135</v>
      </c>
      <c r="J103" s="296">
        <f>IF(I103&lt;='B.1 '!$G$28,'B.1 '!$H$28,IF(AND(I103&lt;='B.1 '!$G$27,I103&gt;'B.1 '!$G$28),0+(('B.1 '!$H$28-'B.1 '!$H$27)/('B.1 '!$G$28-'B.1 '!$G$27))*(I103-'B.1 '!$G$27),0))</f>
        <v>45</v>
      </c>
      <c r="K103" s="419"/>
      <c r="L103" s="296">
        <v>13.5</v>
      </c>
      <c r="M103" s="296">
        <f>IF(L103&lt;='B.1 '!$G$30,'B.1 '!$H$30,IF(AND(L103&lt;='B.1 '!$G$29,L103&gt;'B.1 '!$G$30),0+(('B.1 '!$H$30-'B.1 '!$H$29)/('B.1 '!$G$30-'B.1 '!$G$29))*(L103-'B.1 '!$G$29),0))</f>
        <v>135</v>
      </c>
      <c r="N103" s="276"/>
      <c r="O103" s="295"/>
      <c r="P103" s="420"/>
      <c r="Q103" s="297">
        <v>27</v>
      </c>
      <c r="R103" s="297">
        <f>IF(Q103&lt;='B.1 '!$L$24,'B.1 '!$M$24,IF(AND(Q103&lt;='B.1 '!$L$23,Q103&gt;'B.1 '!$L$24),0+(('B.1 '!$M$24-'B.1 '!$M$23)/('B.1 '!$L$24-'B.1 '!$L$23))*(Q103-'B.1 '!$L$23),0))</f>
        <v>46.969696969696969</v>
      </c>
      <c r="S103" s="421"/>
      <c r="T103" s="297"/>
      <c r="U103" s="297"/>
      <c r="V103" s="421"/>
      <c r="W103" s="297">
        <v>135</v>
      </c>
      <c r="X103" s="297">
        <f>IF(W103&lt;='B.1 '!$L$28,'B.1 '!$M$28,IF(AND(W103&lt;='B.1 '!$L$27,W103&gt;'B.1 '!$L$28),0+(('B.1 '!$M$28-'B.1 '!$M$27)/('B.1 '!$L$28-'B.1 '!$L$27))*(W103-'B.1 '!$L$27),0))</f>
        <v>55.714285714285708</v>
      </c>
      <c r="Y103" s="421"/>
      <c r="Z103" s="297">
        <v>13.5</v>
      </c>
      <c r="AA103" s="297">
        <f>IF(Z103&lt;='B.1 '!$L$30,'B.1 '!$M$30,IF(AND(Z103&lt;='B.1 '!$L$29,Z103&gt;'B.1 '!$L$30),0+(('B.1 '!$M$30-'B.1 '!$M$29)/('B.1 '!$L$30-'B.1 '!$L$29))*(Z103-'B.1 '!$L$29),0))</f>
        <v>135</v>
      </c>
      <c r="AB103" s="146"/>
    </row>
    <row r="104" spans="2:28">
      <c r="B104" s="145"/>
      <c r="C104" s="296">
        <v>55</v>
      </c>
      <c r="D104" s="296">
        <f>IF(C104&lt;='B.1 '!$G$24,'B.1 '!$H$24,IF(AND(C104&lt;='B.1 '!$G$23,C104&gt;'B.1 '!$G$24),0+(('B.1 '!$H$24-'B.1 '!$H$23)/('B.1 '!$G$24-'B.1 '!$G$23))*(C104-'B.1 '!$G$23),0))</f>
        <v>0</v>
      </c>
      <c r="E104" s="419"/>
      <c r="F104" s="296"/>
      <c r="G104" s="296"/>
      <c r="H104" s="419"/>
      <c r="I104" s="296">
        <v>140</v>
      </c>
      <c r="J104" s="296">
        <f>IF(I104&lt;='B.1 '!$G$28,'B.1 '!$H$28,IF(AND(I104&lt;='B.1 '!$G$27,I104&gt;'B.1 '!$G$28),0+(('B.1 '!$H$28-'B.1 '!$H$27)/('B.1 '!$G$28-'B.1 '!$G$27))*(I104-'B.1 '!$G$27),0))</f>
        <v>40</v>
      </c>
      <c r="K104" s="419"/>
      <c r="L104" s="296">
        <v>14</v>
      </c>
      <c r="M104" s="296">
        <f>IF(L104&lt;='B.1 '!$G$30,'B.1 '!$H$30,IF(AND(L104&lt;='B.1 '!$G$29,L104&gt;'B.1 '!$G$30),0+(('B.1 '!$H$30-'B.1 '!$H$29)/('B.1 '!$G$30-'B.1 '!$G$29))*(L104-'B.1 '!$G$29),0))</f>
        <v>135</v>
      </c>
      <c r="N104" s="276"/>
      <c r="O104" s="295"/>
      <c r="P104" s="420"/>
      <c r="Q104" s="297">
        <v>28</v>
      </c>
      <c r="R104" s="297">
        <f>IF(Q104&lt;='B.1 '!$L$24,'B.1 '!$M$24,IF(AND(Q104&lt;='B.1 '!$L$23,Q104&gt;'B.1 '!$L$24),0+(('B.1 '!$M$24-'B.1 '!$M$23)/('B.1 '!$L$24-'B.1 '!$L$23))*(Q104-'B.1 '!$L$23),0))</f>
        <v>45.454545454545453</v>
      </c>
      <c r="S104" s="421"/>
      <c r="T104" s="297"/>
      <c r="U104" s="297"/>
      <c r="V104" s="421"/>
      <c r="W104" s="297">
        <v>140</v>
      </c>
      <c r="X104" s="297">
        <f>IF(W104&lt;='B.1 '!$L$28,'B.1 '!$M$28,IF(AND(W104&lt;='B.1 '!$L$27,W104&gt;'B.1 '!$L$28),0+(('B.1 '!$M$28-'B.1 '!$M$27)/('B.1 '!$L$28-'B.1 '!$L$27))*(W104-'B.1 '!$L$27),0))</f>
        <v>51.428571428571423</v>
      </c>
      <c r="Y104" s="421"/>
      <c r="Z104" s="297">
        <v>14</v>
      </c>
      <c r="AA104" s="297">
        <f>IF(Z104&lt;='B.1 '!$L$30,'B.1 '!$M$30,IF(AND(Z104&lt;='B.1 '!$L$29,Z104&gt;'B.1 '!$L$30),0+(('B.1 '!$M$30-'B.1 '!$M$29)/('B.1 '!$L$30-'B.1 '!$L$29))*(Z104-'B.1 '!$L$29),0))</f>
        <v>135</v>
      </c>
      <c r="AB104" s="146"/>
    </row>
    <row r="105" spans="2:28">
      <c r="B105" s="145"/>
      <c r="C105" s="296">
        <v>56</v>
      </c>
      <c r="D105" s="296">
        <f>IF(C105&lt;='B.1 '!$G$24,'B.1 '!$H$24,IF(AND(C105&lt;='B.1 '!$G$23,C105&gt;'B.1 '!$G$24),0+(('B.1 '!$H$24-'B.1 '!$H$23)/('B.1 '!$G$24-'B.1 '!$G$23))*(C105-'B.1 '!$G$23),0))</f>
        <v>0</v>
      </c>
      <c r="E105" s="419"/>
      <c r="F105" s="296"/>
      <c r="G105" s="296"/>
      <c r="H105" s="419"/>
      <c r="I105" s="296">
        <v>145</v>
      </c>
      <c r="J105" s="296">
        <f>IF(I105&lt;='B.1 '!$G$28,'B.1 '!$H$28,IF(AND(I105&lt;='B.1 '!$G$27,I105&gt;'B.1 '!$G$28),0+(('B.1 '!$H$28-'B.1 '!$H$27)/('B.1 '!$G$28-'B.1 '!$G$27))*(I105-'B.1 '!$G$27),0))</f>
        <v>35</v>
      </c>
      <c r="K105" s="419"/>
      <c r="L105" s="296">
        <v>14.5</v>
      </c>
      <c r="M105" s="296">
        <f>IF(L105&lt;='B.1 '!$G$30,'B.1 '!$H$30,IF(AND(L105&lt;='B.1 '!$G$29,L105&gt;'B.1 '!$G$30),0+(('B.1 '!$H$30-'B.1 '!$H$29)/('B.1 '!$G$30-'B.1 '!$G$29))*(L105-'B.1 '!$G$29),0))</f>
        <v>135</v>
      </c>
      <c r="N105" s="276"/>
      <c r="O105" s="295"/>
      <c r="P105" s="420"/>
      <c r="Q105" s="297">
        <v>29</v>
      </c>
      <c r="R105" s="297">
        <f>IF(Q105&lt;='B.1 '!$L$24,'B.1 '!$M$24,IF(AND(Q105&lt;='B.1 '!$L$23,Q105&gt;'B.1 '!$L$24),0+(('B.1 '!$M$24-'B.1 '!$M$23)/('B.1 '!$L$24-'B.1 '!$L$23))*(Q105-'B.1 '!$L$23),0))</f>
        <v>43.939393939393938</v>
      </c>
      <c r="S105" s="421"/>
      <c r="T105" s="297"/>
      <c r="U105" s="297"/>
      <c r="V105" s="421"/>
      <c r="W105" s="297">
        <v>145</v>
      </c>
      <c r="X105" s="297">
        <f>IF(W105&lt;='B.1 '!$L$28,'B.1 '!$M$28,IF(AND(W105&lt;='B.1 '!$L$27,W105&gt;'B.1 '!$L$28),0+(('B.1 '!$M$28-'B.1 '!$M$27)/('B.1 '!$L$28-'B.1 '!$L$27))*(W105-'B.1 '!$L$27),0))</f>
        <v>47.142857142857139</v>
      </c>
      <c r="Y105" s="421"/>
      <c r="Z105" s="297">
        <v>14.5</v>
      </c>
      <c r="AA105" s="297">
        <f>IF(Z105&lt;='B.1 '!$L$30,'B.1 '!$M$30,IF(AND(Z105&lt;='B.1 '!$L$29,Z105&gt;'B.1 '!$L$30),0+(('B.1 '!$M$30-'B.1 '!$M$29)/('B.1 '!$L$30-'B.1 '!$L$29))*(Z105-'B.1 '!$L$29),0))</f>
        <v>135</v>
      </c>
      <c r="AB105" s="146"/>
    </row>
    <row r="106" spans="2:28">
      <c r="B106" s="145"/>
      <c r="C106" s="296">
        <v>57</v>
      </c>
      <c r="D106" s="296">
        <f>IF(C106&lt;='B.1 '!$G$24,'B.1 '!$H$24,IF(AND(C106&lt;='B.1 '!$G$23,C106&gt;'B.1 '!$G$24),0+(('B.1 '!$H$24-'B.1 '!$H$23)/('B.1 '!$G$24-'B.1 '!$G$23))*(C106-'B.1 '!$G$23),0))</f>
        <v>0</v>
      </c>
      <c r="E106" s="419"/>
      <c r="F106" s="296"/>
      <c r="G106" s="296"/>
      <c r="H106" s="419"/>
      <c r="I106" s="296">
        <v>150</v>
      </c>
      <c r="J106" s="296">
        <f>IF(I106&lt;='B.1 '!$G$28,'B.1 '!$H$28,IF(AND(I106&lt;='B.1 '!$G$27,I106&gt;'B.1 '!$G$28),0+(('B.1 '!$H$28-'B.1 '!$H$27)/('B.1 '!$G$28-'B.1 '!$G$27))*(I106-'B.1 '!$G$27),0))</f>
        <v>30</v>
      </c>
      <c r="K106" s="419"/>
      <c r="L106" s="296">
        <v>15</v>
      </c>
      <c r="M106" s="296">
        <f>IF(L106&lt;='B.1 '!$G$30,'B.1 '!$H$30,IF(AND(L106&lt;='B.1 '!$G$29,L106&gt;'B.1 '!$G$30),0+(('B.1 '!$H$30-'B.1 '!$H$29)/('B.1 '!$G$30-'B.1 '!$G$29))*(L106-'B.1 '!$G$29),0))</f>
        <v>135</v>
      </c>
      <c r="N106" s="276"/>
      <c r="O106" s="295"/>
      <c r="P106" s="420"/>
      <c r="Q106" s="297">
        <v>30</v>
      </c>
      <c r="R106" s="297">
        <f>IF(Q106&lt;='B.1 '!$L$24,'B.1 '!$M$24,IF(AND(Q106&lt;='B.1 '!$L$23,Q106&gt;'B.1 '!$L$24),0+(('B.1 '!$M$24-'B.1 '!$M$23)/('B.1 '!$L$24-'B.1 '!$L$23))*(Q106-'B.1 '!$L$23),0))</f>
        <v>42.424242424242422</v>
      </c>
      <c r="S106" s="421"/>
      <c r="T106" s="297"/>
      <c r="U106" s="297"/>
      <c r="V106" s="421"/>
      <c r="W106" s="297">
        <v>150</v>
      </c>
      <c r="X106" s="297">
        <f>IF(W106&lt;='B.1 '!$L$28,'B.1 '!$M$28,IF(AND(W106&lt;='B.1 '!$L$27,W106&gt;'B.1 '!$L$28),0+(('B.1 '!$M$28-'B.1 '!$M$27)/('B.1 '!$L$28-'B.1 '!$L$27))*(W106-'B.1 '!$L$27),0))</f>
        <v>42.857142857142854</v>
      </c>
      <c r="Y106" s="421"/>
      <c r="Z106" s="297">
        <v>15</v>
      </c>
      <c r="AA106" s="297">
        <f>IF(Z106&lt;='B.1 '!$L$30,'B.1 '!$M$30,IF(AND(Z106&lt;='B.1 '!$L$29,Z106&gt;'B.1 '!$L$30),0+(('B.1 '!$M$30-'B.1 '!$M$29)/('B.1 '!$L$30-'B.1 '!$L$29))*(Z106-'B.1 '!$L$29),0))</f>
        <v>135</v>
      </c>
      <c r="AB106" s="146"/>
    </row>
    <row r="107" spans="2:28">
      <c r="B107" s="145"/>
      <c r="C107" s="296">
        <v>58</v>
      </c>
      <c r="D107" s="296">
        <f>IF(C107&lt;='B.1 '!$G$24,'B.1 '!$H$24,IF(AND(C107&lt;='B.1 '!$G$23,C107&gt;'B.1 '!$G$24),0+(('B.1 '!$H$24-'B.1 '!$H$23)/('B.1 '!$G$24-'B.1 '!$G$23))*(C107-'B.1 '!$G$23),0))</f>
        <v>0</v>
      </c>
      <c r="E107" s="419"/>
      <c r="F107" s="296"/>
      <c r="G107" s="296"/>
      <c r="H107" s="419"/>
      <c r="I107" s="296">
        <v>155</v>
      </c>
      <c r="J107" s="296">
        <f>IF(I107&lt;='B.1 '!$G$28,'B.1 '!$H$28,IF(AND(I107&lt;='B.1 '!$G$27,I107&gt;'B.1 '!$G$28),0+(('B.1 '!$H$28-'B.1 '!$H$27)/('B.1 '!$G$28-'B.1 '!$G$27))*(I107-'B.1 '!$G$27),0))</f>
        <v>25</v>
      </c>
      <c r="K107" s="419"/>
      <c r="L107" s="296">
        <v>15.5</v>
      </c>
      <c r="M107" s="296">
        <f>IF(L107&lt;='B.1 '!$G$30,'B.1 '!$H$30,IF(AND(L107&lt;='B.1 '!$G$29,L107&gt;'B.1 '!$G$30),0+(('B.1 '!$H$30-'B.1 '!$H$29)/('B.1 '!$G$30-'B.1 '!$G$29))*(L107-'B.1 '!$G$29),0))</f>
        <v>135</v>
      </c>
      <c r="N107" s="276"/>
      <c r="O107" s="295"/>
      <c r="P107" s="420"/>
      <c r="Q107" s="297">
        <v>31</v>
      </c>
      <c r="R107" s="297">
        <f>IF(Q107&lt;='B.1 '!$L$24,'B.1 '!$M$24,IF(AND(Q107&lt;='B.1 '!$L$23,Q107&gt;'B.1 '!$L$24),0+(('B.1 '!$M$24-'B.1 '!$M$23)/('B.1 '!$L$24-'B.1 '!$L$23))*(Q107-'B.1 '!$L$23),0))</f>
        <v>40.909090909090907</v>
      </c>
      <c r="S107" s="421"/>
      <c r="T107" s="297"/>
      <c r="U107" s="297"/>
      <c r="V107" s="421"/>
      <c r="W107" s="297">
        <v>155</v>
      </c>
      <c r="X107" s="297">
        <f>IF(W107&lt;='B.1 '!$L$28,'B.1 '!$M$28,IF(AND(W107&lt;='B.1 '!$L$27,W107&gt;'B.1 '!$L$28),0+(('B.1 '!$M$28-'B.1 '!$M$27)/('B.1 '!$L$28-'B.1 '!$L$27))*(W107-'B.1 '!$L$27),0))</f>
        <v>38.571428571428569</v>
      </c>
      <c r="Y107" s="421"/>
      <c r="Z107" s="297">
        <v>15.5</v>
      </c>
      <c r="AA107" s="297">
        <f>IF(Z107&lt;='B.1 '!$L$30,'B.1 '!$M$30,IF(AND(Z107&lt;='B.1 '!$L$29,Z107&gt;'B.1 '!$L$30),0+(('B.1 '!$M$30-'B.1 '!$M$29)/('B.1 '!$L$30-'B.1 '!$L$29))*(Z107-'B.1 '!$L$29),0))</f>
        <v>135</v>
      </c>
      <c r="AB107" s="146"/>
    </row>
    <row r="108" spans="2:28">
      <c r="B108" s="145"/>
      <c r="C108" s="296">
        <v>59</v>
      </c>
      <c r="D108" s="296">
        <f>IF(C108&lt;='B.1 '!$G$24,'B.1 '!$H$24,IF(AND(C108&lt;='B.1 '!$G$23,C108&gt;'B.1 '!$G$24),0+(('B.1 '!$H$24-'B.1 '!$H$23)/('B.1 '!$G$24-'B.1 '!$G$23))*(C108-'B.1 '!$G$23),0))</f>
        <v>0</v>
      </c>
      <c r="E108" s="419"/>
      <c r="F108" s="296"/>
      <c r="G108" s="296"/>
      <c r="H108" s="419"/>
      <c r="I108" s="296">
        <v>160</v>
      </c>
      <c r="J108" s="296">
        <f>IF(I108&lt;='B.1 '!$G$28,'B.1 '!$H$28,IF(AND(I108&lt;='B.1 '!$G$27,I108&gt;'B.1 '!$G$28),0+(('B.1 '!$H$28-'B.1 '!$H$27)/('B.1 '!$G$28-'B.1 '!$G$27))*(I108-'B.1 '!$G$27),0))</f>
        <v>20</v>
      </c>
      <c r="K108" s="419"/>
      <c r="L108" s="296">
        <v>16</v>
      </c>
      <c r="M108" s="296">
        <f>IF(L108&lt;='B.1 '!$G$30,'B.1 '!$H$30,IF(AND(L108&lt;='B.1 '!$G$29,L108&gt;'B.1 '!$G$30),0+(('B.1 '!$H$30-'B.1 '!$H$29)/('B.1 '!$G$30-'B.1 '!$G$29))*(L108-'B.1 '!$G$29),0))</f>
        <v>135</v>
      </c>
      <c r="N108" s="276"/>
      <c r="O108" s="295"/>
      <c r="P108" s="420"/>
      <c r="Q108" s="297">
        <v>32</v>
      </c>
      <c r="R108" s="297">
        <f>IF(Q108&lt;='B.1 '!$L$24,'B.1 '!$M$24,IF(AND(Q108&lt;='B.1 '!$L$23,Q108&gt;'B.1 '!$L$24),0+(('B.1 '!$M$24-'B.1 '!$M$23)/('B.1 '!$L$24-'B.1 '!$L$23))*(Q108-'B.1 '!$L$23),0))</f>
        <v>39.393939393939391</v>
      </c>
      <c r="S108" s="421"/>
      <c r="T108" s="297"/>
      <c r="U108" s="297"/>
      <c r="V108" s="421"/>
      <c r="W108" s="297">
        <v>160</v>
      </c>
      <c r="X108" s="297">
        <f>IF(W108&lt;='B.1 '!$L$28,'B.1 '!$M$28,IF(AND(W108&lt;='B.1 '!$L$27,W108&gt;'B.1 '!$L$28),0+(('B.1 '!$M$28-'B.1 '!$M$27)/('B.1 '!$L$28-'B.1 '!$L$27))*(W108-'B.1 '!$L$27),0))</f>
        <v>34.285714285714285</v>
      </c>
      <c r="Y108" s="421"/>
      <c r="Z108" s="297">
        <v>16</v>
      </c>
      <c r="AA108" s="297">
        <f>IF(Z108&lt;='B.1 '!$L$30,'B.1 '!$M$30,IF(AND(Z108&lt;='B.1 '!$L$29,Z108&gt;'B.1 '!$L$30),0+(('B.1 '!$M$30-'B.1 '!$M$29)/('B.1 '!$L$30-'B.1 '!$L$29))*(Z108-'B.1 '!$L$29),0))</f>
        <v>135</v>
      </c>
      <c r="AB108" s="146"/>
    </row>
    <row r="109" spans="2:28">
      <c r="B109" s="145"/>
      <c r="C109" s="296">
        <v>60</v>
      </c>
      <c r="D109" s="296">
        <f>IF(C109&lt;='B.1 '!$G$24,'B.1 '!$H$24,IF(AND(C109&lt;='B.1 '!$G$23,C109&gt;'B.1 '!$G$24),0+(('B.1 '!$H$24-'B.1 '!$H$23)/('B.1 '!$G$24-'B.1 '!$G$23))*(C109-'B.1 '!$G$23),0))</f>
        <v>0</v>
      </c>
      <c r="E109" s="419"/>
      <c r="F109" s="296"/>
      <c r="G109" s="296"/>
      <c r="H109" s="419"/>
      <c r="I109" s="296">
        <v>165</v>
      </c>
      <c r="J109" s="296">
        <f>IF(I109&lt;='B.1 '!$G$28,'B.1 '!$H$28,IF(AND(I109&lt;='B.1 '!$G$27,I109&gt;'B.1 '!$G$28),0+(('B.1 '!$H$28-'B.1 '!$H$27)/('B.1 '!$G$28-'B.1 '!$G$27))*(I109-'B.1 '!$G$27),0))</f>
        <v>15</v>
      </c>
      <c r="K109" s="419"/>
      <c r="L109" s="296">
        <v>16.5</v>
      </c>
      <c r="M109" s="296">
        <f>IF(L109&lt;='B.1 '!$G$30,'B.1 '!$H$30,IF(AND(L109&lt;='B.1 '!$G$29,L109&gt;'B.1 '!$G$30),0+(('B.1 '!$H$30-'B.1 '!$H$29)/('B.1 '!$G$30-'B.1 '!$G$29))*(L109-'B.1 '!$G$29),0))</f>
        <v>135</v>
      </c>
      <c r="N109" s="276"/>
      <c r="O109" s="295"/>
      <c r="P109" s="420"/>
      <c r="Q109" s="297">
        <v>33</v>
      </c>
      <c r="R109" s="297">
        <f>IF(Q109&lt;='B.1 '!$L$24,'B.1 '!$M$24,IF(AND(Q109&lt;='B.1 '!$L$23,Q109&gt;'B.1 '!$L$24),0+(('B.1 '!$M$24-'B.1 '!$M$23)/('B.1 '!$L$24-'B.1 '!$L$23))*(Q109-'B.1 '!$L$23),0))</f>
        <v>37.878787878787875</v>
      </c>
      <c r="S109" s="421"/>
      <c r="T109" s="297"/>
      <c r="U109" s="297"/>
      <c r="V109" s="421"/>
      <c r="W109" s="297">
        <v>165</v>
      </c>
      <c r="X109" s="297">
        <f>IF(W109&lt;='B.1 '!$L$28,'B.1 '!$M$28,IF(AND(W109&lt;='B.1 '!$L$27,W109&gt;'B.1 '!$L$28),0+(('B.1 '!$M$28-'B.1 '!$M$27)/('B.1 '!$L$28-'B.1 '!$L$27))*(W109-'B.1 '!$L$27),0))</f>
        <v>30</v>
      </c>
      <c r="Y109" s="421"/>
      <c r="Z109" s="297">
        <v>16.5</v>
      </c>
      <c r="AA109" s="297">
        <f>IF(Z109&lt;='B.1 '!$L$30,'B.1 '!$M$30,IF(AND(Z109&lt;='B.1 '!$L$29,Z109&gt;'B.1 '!$L$30),0+(('B.1 '!$M$30-'B.1 '!$M$29)/('B.1 '!$L$30-'B.1 '!$L$29))*(Z109-'B.1 '!$L$29),0))</f>
        <v>135</v>
      </c>
      <c r="AB109" s="146"/>
    </row>
    <row r="110" spans="2:28">
      <c r="B110" s="145"/>
      <c r="C110" s="296">
        <v>61</v>
      </c>
      <c r="D110" s="296">
        <f>IF(C110&lt;='B.1 '!$G$24,'B.1 '!$H$24,IF(AND(C110&lt;='B.1 '!$G$23,C110&gt;'B.1 '!$G$24),0+(('B.1 '!$H$24-'B.1 '!$H$23)/('B.1 '!$G$24-'B.1 '!$G$23))*(C110-'B.1 '!$G$23),0))</f>
        <v>0</v>
      </c>
      <c r="E110" s="419"/>
      <c r="F110" s="296"/>
      <c r="G110" s="296"/>
      <c r="H110" s="419"/>
      <c r="I110" s="296">
        <v>170</v>
      </c>
      <c r="J110" s="296">
        <f>IF(I110&lt;='B.1 '!$G$28,'B.1 '!$H$28,IF(AND(I110&lt;='B.1 '!$G$27,I110&gt;'B.1 '!$G$28),0+(('B.1 '!$H$28-'B.1 '!$H$27)/('B.1 '!$G$28-'B.1 '!$G$27))*(I110-'B.1 '!$G$27),0))</f>
        <v>10</v>
      </c>
      <c r="K110" s="419"/>
      <c r="L110" s="296">
        <v>17</v>
      </c>
      <c r="M110" s="296">
        <f>IF(L110&lt;='B.1 '!$G$30,'B.1 '!$H$30,IF(AND(L110&lt;='B.1 '!$G$29,L110&gt;'B.1 '!$G$30),0+(('B.1 '!$H$30-'B.1 '!$H$29)/('B.1 '!$G$30-'B.1 '!$G$29))*(L110-'B.1 '!$G$29),0))</f>
        <v>135</v>
      </c>
      <c r="N110" s="276"/>
      <c r="O110" s="295"/>
      <c r="P110" s="420"/>
      <c r="Q110" s="297">
        <v>34</v>
      </c>
      <c r="R110" s="297">
        <f>IF(Q110&lt;='B.1 '!$L$24,'B.1 '!$M$24,IF(AND(Q110&lt;='B.1 '!$L$23,Q110&gt;'B.1 '!$L$24),0+(('B.1 '!$M$24-'B.1 '!$M$23)/('B.1 '!$L$24-'B.1 '!$L$23))*(Q110-'B.1 '!$L$23),0))</f>
        <v>36.36363636363636</v>
      </c>
      <c r="S110" s="421"/>
      <c r="T110" s="297"/>
      <c r="U110" s="297"/>
      <c r="V110" s="421"/>
      <c r="W110" s="297">
        <v>170</v>
      </c>
      <c r="X110" s="297">
        <f>IF(W110&lt;='B.1 '!$L$28,'B.1 '!$M$28,IF(AND(W110&lt;='B.1 '!$L$27,W110&gt;'B.1 '!$L$28),0+(('B.1 '!$M$28-'B.1 '!$M$27)/('B.1 '!$L$28-'B.1 '!$L$27))*(W110-'B.1 '!$L$27),0))</f>
        <v>25.714285714285712</v>
      </c>
      <c r="Y110" s="421"/>
      <c r="Z110" s="297">
        <v>17</v>
      </c>
      <c r="AA110" s="297">
        <f>IF(Z110&lt;='B.1 '!$L$30,'B.1 '!$M$30,IF(AND(Z110&lt;='B.1 '!$L$29,Z110&gt;'B.1 '!$L$30),0+(('B.1 '!$M$30-'B.1 '!$M$29)/('B.1 '!$L$30-'B.1 '!$L$29))*(Z110-'B.1 '!$L$29),0))</f>
        <v>135</v>
      </c>
      <c r="AB110" s="146"/>
    </row>
    <row r="111" spans="2:28">
      <c r="B111" s="145"/>
      <c r="C111" s="296">
        <v>62</v>
      </c>
      <c r="D111" s="296">
        <f>IF(C111&lt;='B.1 '!$G$24,'B.1 '!$H$24,IF(AND(C111&lt;='B.1 '!$G$23,C111&gt;'B.1 '!$G$24),0+(('B.1 '!$H$24-'B.1 '!$H$23)/('B.1 '!$G$24-'B.1 '!$G$23))*(C111-'B.1 '!$G$23),0))</f>
        <v>0</v>
      </c>
      <c r="E111" s="419"/>
      <c r="F111" s="296"/>
      <c r="G111" s="296"/>
      <c r="H111" s="419"/>
      <c r="I111" s="296">
        <v>175</v>
      </c>
      <c r="J111" s="296">
        <f>IF(I111&lt;='B.1 '!$G$28,'B.1 '!$H$28,IF(AND(I111&lt;='B.1 '!$G$27,I111&gt;'B.1 '!$G$28),0+(('B.1 '!$H$28-'B.1 '!$H$27)/('B.1 '!$G$28-'B.1 '!$G$27))*(I111-'B.1 '!$G$27),0))</f>
        <v>5</v>
      </c>
      <c r="K111" s="419"/>
      <c r="L111" s="296">
        <v>17.5</v>
      </c>
      <c r="M111" s="296">
        <f>IF(L111&lt;='B.1 '!$G$30,'B.1 '!$H$30,IF(AND(L111&lt;='B.1 '!$G$29,L111&gt;'B.1 '!$G$30),0+(('B.1 '!$H$30-'B.1 '!$H$29)/('B.1 '!$G$30-'B.1 '!$G$29))*(L111-'B.1 '!$G$29),0))</f>
        <v>135</v>
      </c>
      <c r="N111" s="276"/>
      <c r="O111" s="295"/>
      <c r="P111" s="420"/>
      <c r="Q111" s="297">
        <v>35</v>
      </c>
      <c r="R111" s="297">
        <f>IF(Q111&lt;='B.1 '!$L$24,'B.1 '!$M$24,IF(AND(Q111&lt;='B.1 '!$L$23,Q111&gt;'B.1 '!$L$24),0+(('B.1 '!$M$24-'B.1 '!$M$23)/('B.1 '!$L$24-'B.1 '!$L$23))*(Q111-'B.1 '!$L$23),0))</f>
        <v>34.848484848484851</v>
      </c>
      <c r="S111" s="421"/>
      <c r="T111" s="297"/>
      <c r="U111" s="297"/>
      <c r="V111" s="421"/>
      <c r="W111" s="297">
        <v>175</v>
      </c>
      <c r="X111" s="297">
        <f>IF(W111&lt;='B.1 '!$L$28,'B.1 '!$M$28,IF(AND(W111&lt;='B.1 '!$L$27,W111&gt;'B.1 '!$L$28),0+(('B.1 '!$M$28-'B.1 '!$M$27)/('B.1 '!$L$28-'B.1 '!$L$27))*(W111-'B.1 '!$L$27),0))</f>
        <v>21.428571428571427</v>
      </c>
      <c r="Y111" s="421"/>
      <c r="Z111" s="297">
        <v>17.5</v>
      </c>
      <c r="AA111" s="297">
        <f>IF(Z111&lt;='B.1 '!$L$30,'B.1 '!$M$30,IF(AND(Z111&lt;='B.1 '!$L$29,Z111&gt;'B.1 '!$L$30),0+(('B.1 '!$M$30-'B.1 '!$M$29)/('B.1 '!$L$30-'B.1 '!$L$29))*(Z111-'B.1 '!$L$29),0))</f>
        <v>135</v>
      </c>
      <c r="AB111" s="146"/>
    </row>
    <row r="112" spans="2:28">
      <c r="B112" s="145"/>
      <c r="C112" s="296">
        <v>63</v>
      </c>
      <c r="D112" s="296">
        <f>IF(C112&lt;='B.1 '!$G$24,'B.1 '!$H$24,IF(AND(C112&lt;='B.1 '!$G$23,C112&gt;'B.1 '!$G$24),0+(('B.1 '!$H$24-'B.1 '!$H$23)/('B.1 '!$G$24-'B.1 '!$G$23))*(C112-'B.1 '!$G$23),0))</f>
        <v>0</v>
      </c>
      <c r="E112" s="419"/>
      <c r="F112" s="296"/>
      <c r="G112" s="296"/>
      <c r="H112" s="419"/>
      <c r="I112" s="296">
        <v>180</v>
      </c>
      <c r="J112" s="296">
        <f>IF(I112&lt;='B.1 '!$G$28,'B.1 '!$H$28,IF(AND(I112&lt;='B.1 '!$G$27,I112&gt;'B.1 '!$G$28),0+(('B.1 '!$H$28-'B.1 '!$H$27)/('B.1 '!$G$28-'B.1 '!$G$27))*(I112-'B.1 '!$G$27),0))</f>
        <v>0</v>
      </c>
      <c r="K112" s="419"/>
      <c r="L112" s="296">
        <v>18</v>
      </c>
      <c r="M112" s="296">
        <f>IF(L112&lt;='B.1 '!$G$30,'B.1 '!$H$30,IF(AND(L112&lt;='B.1 '!$G$29,L112&gt;'B.1 '!$G$30),0+(('B.1 '!$H$30-'B.1 '!$H$29)/('B.1 '!$G$30-'B.1 '!$G$29))*(L112-'B.1 '!$G$29),0))</f>
        <v>135</v>
      </c>
      <c r="N112" s="276"/>
      <c r="O112" s="295"/>
      <c r="P112" s="420"/>
      <c r="Q112" s="297">
        <v>36</v>
      </c>
      <c r="R112" s="297">
        <f>IF(Q112&lt;='B.1 '!$L$24,'B.1 '!$M$24,IF(AND(Q112&lt;='B.1 '!$L$23,Q112&gt;'B.1 '!$L$24),0+(('B.1 '!$M$24-'B.1 '!$M$23)/('B.1 '!$L$24-'B.1 '!$L$23))*(Q112-'B.1 '!$L$23),0))</f>
        <v>33.333333333333336</v>
      </c>
      <c r="S112" s="421"/>
      <c r="T112" s="297"/>
      <c r="U112" s="297"/>
      <c r="V112" s="421"/>
      <c r="W112" s="297">
        <v>180</v>
      </c>
      <c r="X112" s="297">
        <f>IF(W112&lt;='B.1 '!$L$28,'B.1 '!$M$28,IF(AND(W112&lt;='B.1 '!$L$27,W112&gt;'B.1 '!$L$28),0+(('B.1 '!$M$28-'B.1 '!$M$27)/('B.1 '!$L$28-'B.1 '!$L$27))*(W112-'B.1 '!$L$27),0))</f>
        <v>17.142857142857142</v>
      </c>
      <c r="Y112" s="421"/>
      <c r="Z112" s="297">
        <v>18</v>
      </c>
      <c r="AA112" s="297">
        <f>IF(Z112&lt;='B.1 '!$L$30,'B.1 '!$M$30,IF(AND(Z112&lt;='B.1 '!$L$29,Z112&gt;'B.1 '!$L$30),0+(('B.1 '!$M$30-'B.1 '!$M$29)/('B.1 '!$L$30-'B.1 '!$L$29))*(Z112-'B.1 '!$L$29),0))</f>
        <v>135</v>
      </c>
      <c r="AB112" s="146"/>
    </row>
    <row r="113" spans="2:28">
      <c r="B113" s="145"/>
      <c r="C113" s="296">
        <v>64</v>
      </c>
      <c r="D113" s="296">
        <f>IF(C113&lt;='B.1 '!$G$24,'B.1 '!$H$24,IF(AND(C113&lt;='B.1 '!$G$23,C113&gt;'B.1 '!$G$24),0+(('B.1 '!$H$24-'B.1 '!$H$23)/('B.1 '!$G$24-'B.1 '!$G$23))*(C113-'B.1 '!$G$23),0))</f>
        <v>0</v>
      </c>
      <c r="E113" s="419"/>
      <c r="F113" s="296"/>
      <c r="G113" s="296"/>
      <c r="H113" s="419"/>
      <c r="I113" s="296">
        <v>185</v>
      </c>
      <c r="J113" s="296">
        <f>IF(I113&lt;='B.1 '!$G$28,'B.1 '!$H$28,IF(AND(I113&lt;='B.1 '!$G$27,I113&gt;'B.1 '!$G$28),0+(('B.1 '!$H$28-'B.1 '!$H$27)/('B.1 '!$G$28-'B.1 '!$G$27))*(I113-'B.1 '!$G$27),0))</f>
        <v>0</v>
      </c>
      <c r="K113" s="419"/>
      <c r="L113" s="296">
        <v>18.5</v>
      </c>
      <c r="M113" s="296">
        <f>IF(L113&lt;='B.1 '!$G$30,'B.1 '!$H$30,IF(AND(L113&lt;='B.1 '!$G$29,L113&gt;'B.1 '!$G$30),0+(('B.1 '!$H$30-'B.1 '!$H$29)/('B.1 '!$G$30-'B.1 '!$G$29))*(L113-'B.1 '!$G$29),0))</f>
        <v>135</v>
      </c>
      <c r="N113" s="276"/>
      <c r="O113" s="295"/>
      <c r="P113" s="420"/>
      <c r="Q113" s="297">
        <v>37</v>
      </c>
      <c r="R113" s="297">
        <f>IF(Q113&lt;='B.1 '!$L$24,'B.1 '!$M$24,IF(AND(Q113&lt;='B.1 '!$L$23,Q113&gt;'B.1 '!$L$24),0+(('B.1 '!$M$24-'B.1 '!$M$23)/('B.1 '!$L$24-'B.1 '!$L$23))*(Q113-'B.1 '!$L$23),0))</f>
        <v>31.818181818181817</v>
      </c>
      <c r="S113" s="421"/>
      <c r="T113" s="297"/>
      <c r="U113" s="297"/>
      <c r="V113" s="421"/>
      <c r="W113" s="297">
        <v>185</v>
      </c>
      <c r="X113" s="297">
        <f>IF(W113&lt;='B.1 '!$L$28,'B.1 '!$M$28,IF(AND(W113&lt;='B.1 '!$L$27,W113&gt;'B.1 '!$L$28),0+(('B.1 '!$M$28-'B.1 '!$M$27)/('B.1 '!$L$28-'B.1 '!$L$27))*(W113-'B.1 '!$L$27),0))</f>
        <v>12.857142857142856</v>
      </c>
      <c r="Y113" s="421"/>
      <c r="Z113" s="297">
        <v>18.5</v>
      </c>
      <c r="AA113" s="297">
        <f>IF(Z113&lt;='B.1 '!$L$30,'B.1 '!$M$30,IF(AND(Z113&lt;='B.1 '!$L$29,Z113&gt;'B.1 '!$L$30),0+(('B.1 '!$M$30-'B.1 '!$M$29)/('B.1 '!$L$30-'B.1 '!$L$29))*(Z113-'B.1 '!$L$29),0))</f>
        <v>135</v>
      </c>
      <c r="AB113" s="146"/>
    </row>
    <row r="114" spans="2:28">
      <c r="B114" s="145"/>
      <c r="C114" s="296">
        <v>65</v>
      </c>
      <c r="D114" s="296">
        <f>IF(C114&lt;='B.1 '!$G$24,'B.1 '!$H$24,IF(AND(C114&lt;='B.1 '!$G$23,C114&gt;'B.1 '!$G$24),0+(('B.1 '!$H$24-'B.1 '!$H$23)/('B.1 '!$G$24-'B.1 '!$G$23))*(C114-'B.1 '!$G$23),0))</f>
        <v>0</v>
      </c>
      <c r="E114" s="419"/>
      <c r="F114" s="296"/>
      <c r="G114" s="296"/>
      <c r="H114" s="419"/>
      <c r="I114" s="296">
        <v>190</v>
      </c>
      <c r="J114" s="296">
        <f>IF(I114&lt;='B.1 '!$G$28,'B.1 '!$H$28,IF(AND(I114&lt;='B.1 '!$G$27,I114&gt;'B.1 '!$G$28),0+(('B.1 '!$H$28-'B.1 '!$H$27)/('B.1 '!$G$28-'B.1 '!$G$27))*(I114-'B.1 '!$G$27),0))</f>
        <v>0</v>
      </c>
      <c r="K114" s="419"/>
      <c r="L114" s="296">
        <v>19</v>
      </c>
      <c r="M114" s="296">
        <f>IF(L114&lt;='B.1 '!$G$30,'B.1 '!$H$30,IF(AND(L114&lt;='B.1 '!$G$29,L114&gt;'B.1 '!$G$30),0+(('B.1 '!$H$30-'B.1 '!$H$29)/('B.1 '!$G$30-'B.1 '!$G$29))*(L114-'B.1 '!$G$29),0))</f>
        <v>135</v>
      </c>
      <c r="N114" s="276"/>
      <c r="O114" s="295"/>
      <c r="P114" s="420"/>
      <c r="Q114" s="297">
        <v>38</v>
      </c>
      <c r="R114" s="297">
        <f>IF(Q114&lt;='B.1 '!$L$24,'B.1 '!$M$24,IF(AND(Q114&lt;='B.1 '!$L$23,Q114&gt;'B.1 '!$L$24),0+(('B.1 '!$M$24-'B.1 '!$M$23)/('B.1 '!$L$24-'B.1 '!$L$23))*(Q114-'B.1 '!$L$23),0))</f>
        <v>30.303030303030305</v>
      </c>
      <c r="S114" s="421"/>
      <c r="T114" s="297"/>
      <c r="U114" s="297"/>
      <c r="V114" s="421"/>
      <c r="W114" s="297">
        <v>190</v>
      </c>
      <c r="X114" s="297">
        <f>IF(W114&lt;='B.1 '!$L$28,'B.1 '!$M$28,IF(AND(W114&lt;='B.1 '!$L$27,W114&gt;'B.1 '!$L$28),0+(('B.1 '!$M$28-'B.1 '!$M$27)/('B.1 '!$L$28-'B.1 '!$L$27))*(W114-'B.1 '!$L$27),0))</f>
        <v>8.5714285714285712</v>
      </c>
      <c r="Y114" s="421"/>
      <c r="Z114" s="297">
        <v>19</v>
      </c>
      <c r="AA114" s="297">
        <f>IF(Z114&lt;='B.1 '!$L$30,'B.1 '!$M$30,IF(AND(Z114&lt;='B.1 '!$L$29,Z114&gt;'B.1 '!$L$30),0+(('B.1 '!$M$30-'B.1 '!$M$29)/('B.1 '!$L$30-'B.1 '!$L$29))*(Z114-'B.1 '!$L$29),0))</f>
        <v>135</v>
      </c>
      <c r="AB114" s="146"/>
    </row>
    <row r="115" spans="2:28">
      <c r="B115" s="145"/>
      <c r="C115" s="296"/>
      <c r="D115" s="296"/>
      <c r="E115" s="419"/>
      <c r="F115" s="296"/>
      <c r="G115" s="296"/>
      <c r="H115" s="419"/>
      <c r="I115" s="296">
        <v>195</v>
      </c>
      <c r="J115" s="296">
        <f>IF(I115&lt;='B.1 '!$G$28,'B.1 '!$H$28,IF(AND(I115&lt;='B.1 '!$G$27,I115&gt;'B.1 '!$G$28),0+(('B.1 '!$H$28-'B.1 '!$H$27)/('B.1 '!$G$28-'B.1 '!$G$27))*(I115-'B.1 '!$G$27),0))</f>
        <v>0</v>
      </c>
      <c r="K115" s="419"/>
      <c r="L115" s="296">
        <v>19.5</v>
      </c>
      <c r="M115" s="296">
        <f>IF(L115&lt;='B.1 '!$G$30,'B.1 '!$H$30,IF(AND(L115&lt;='B.1 '!$G$29,L115&gt;'B.1 '!$G$30),0+(('B.1 '!$H$30-'B.1 '!$H$29)/('B.1 '!$G$30-'B.1 '!$G$29))*(L115-'B.1 '!$G$29),0))</f>
        <v>135</v>
      </c>
      <c r="N115" s="276"/>
      <c r="O115" s="295"/>
      <c r="P115" s="420"/>
      <c r="Q115" s="297">
        <v>39</v>
      </c>
      <c r="R115" s="297">
        <f>IF(Q115&lt;='B.1 '!$L$24,'B.1 '!$M$24,IF(AND(Q115&lt;='B.1 '!$L$23,Q115&gt;'B.1 '!$L$24),0+(('B.1 '!$M$24-'B.1 '!$M$23)/('B.1 '!$L$24-'B.1 '!$L$23))*(Q115-'B.1 '!$L$23),0))</f>
        <v>28.787878787878789</v>
      </c>
      <c r="S115" s="421"/>
      <c r="T115" s="297"/>
      <c r="U115" s="297"/>
      <c r="V115" s="421"/>
      <c r="W115" s="297">
        <v>195</v>
      </c>
      <c r="X115" s="297">
        <f>IF(W115&lt;='B.1 '!$L$28,'B.1 '!$M$28,IF(AND(W115&lt;='B.1 '!$L$27,W115&gt;'B.1 '!$L$28),0+(('B.1 '!$M$28-'B.1 '!$M$27)/('B.1 '!$L$28-'B.1 '!$L$27))*(W115-'B.1 '!$L$27),0))</f>
        <v>4.2857142857142856</v>
      </c>
      <c r="Y115" s="421"/>
      <c r="Z115" s="297">
        <v>19.5</v>
      </c>
      <c r="AA115" s="297">
        <f>IF(Z115&lt;='B.1 '!$L$30,'B.1 '!$M$30,IF(AND(Z115&lt;='B.1 '!$L$29,Z115&gt;'B.1 '!$L$30),0+(('B.1 '!$M$30-'B.1 '!$M$29)/('B.1 '!$L$30-'B.1 '!$L$29))*(Z115-'B.1 '!$L$29),0))</f>
        <v>135</v>
      </c>
      <c r="AB115" s="146"/>
    </row>
    <row r="116" spans="2:28">
      <c r="B116" s="145"/>
      <c r="C116" s="296"/>
      <c r="D116" s="296"/>
      <c r="E116" s="419"/>
      <c r="F116" s="296"/>
      <c r="G116" s="296"/>
      <c r="H116" s="419"/>
      <c r="I116" s="296">
        <v>200</v>
      </c>
      <c r="J116" s="296">
        <f>IF(I116&lt;='B.1 '!$G$28,'B.1 '!$H$28,IF(AND(I116&lt;='B.1 '!$G$27,I116&gt;'B.1 '!$G$28),0+(('B.1 '!$H$28-'B.1 '!$H$27)/('B.1 '!$G$28-'B.1 '!$G$27))*(I116-'B.1 '!$G$27),0))</f>
        <v>0</v>
      </c>
      <c r="K116" s="419"/>
      <c r="L116" s="296">
        <v>20</v>
      </c>
      <c r="M116" s="296">
        <f>IF(L116&lt;='B.1 '!$G$30,'B.1 '!$H$30,IF(AND(L116&lt;='B.1 '!$G$29,L116&gt;'B.1 '!$G$30),0+(('B.1 '!$H$30-'B.1 '!$H$29)/('B.1 '!$G$30-'B.1 '!$G$29))*(L116-'B.1 '!$G$29),0))</f>
        <v>135</v>
      </c>
      <c r="N116" s="276"/>
      <c r="O116" s="295"/>
      <c r="P116" s="420"/>
      <c r="Q116" s="297">
        <v>40</v>
      </c>
      <c r="R116" s="297">
        <f>IF(Q116&lt;='B.1 '!$L$24,'B.1 '!$M$24,IF(AND(Q116&lt;='B.1 '!$L$23,Q116&gt;'B.1 '!$L$24),0+(('B.1 '!$M$24-'B.1 '!$M$23)/('B.1 '!$L$24-'B.1 '!$L$23))*(Q116-'B.1 '!$L$23),0))</f>
        <v>27.272727272727273</v>
      </c>
      <c r="S116" s="421"/>
      <c r="T116" s="297"/>
      <c r="U116" s="297"/>
      <c r="V116" s="421"/>
      <c r="W116" s="297">
        <v>200</v>
      </c>
      <c r="X116" s="297">
        <f>IF(W116&lt;='B.1 '!$L$28,'B.1 '!$M$28,IF(AND(W116&lt;='B.1 '!$L$27,W116&gt;'B.1 '!$L$28),0+(('B.1 '!$M$28-'B.1 '!$M$27)/('B.1 '!$L$28-'B.1 '!$L$27))*(W116-'B.1 '!$L$27),0))</f>
        <v>0</v>
      </c>
      <c r="Y116" s="421"/>
      <c r="Z116" s="297">
        <v>20</v>
      </c>
      <c r="AA116" s="297">
        <f>IF(Z116&lt;='B.1 '!$L$30,'B.1 '!$M$30,IF(AND(Z116&lt;='B.1 '!$L$29,Z116&gt;'B.1 '!$L$30),0+(('B.1 '!$M$30-'B.1 '!$M$29)/('B.1 '!$L$30-'B.1 '!$L$29))*(Z116-'B.1 '!$L$29),0))</f>
        <v>135</v>
      </c>
      <c r="AB116" s="146"/>
    </row>
    <row r="117" spans="2:28">
      <c r="B117" s="145"/>
      <c r="C117" s="296"/>
      <c r="D117" s="296"/>
      <c r="E117" s="419"/>
      <c r="F117" s="296"/>
      <c r="G117" s="296"/>
      <c r="H117" s="419"/>
      <c r="I117" s="296">
        <v>205</v>
      </c>
      <c r="J117" s="296">
        <f>IF(I117&lt;='B.1 '!$G$28,'B.1 '!$H$28,IF(AND(I117&lt;='B.1 '!$G$27,I117&gt;'B.1 '!$G$28),0+(('B.1 '!$H$28-'B.1 '!$H$27)/('B.1 '!$G$28-'B.1 '!$G$27))*(I117-'B.1 '!$G$27),0))</f>
        <v>0</v>
      </c>
      <c r="K117" s="419"/>
      <c r="L117" s="296">
        <v>20.5</v>
      </c>
      <c r="M117" s="296">
        <f>IF(L117&lt;='B.1 '!$G$30,'B.1 '!$H$30,IF(AND(L117&lt;='B.1 '!$G$29,L117&gt;'B.1 '!$G$30),0+(('B.1 '!$H$30-'B.1 '!$H$29)/('B.1 '!$G$30-'B.1 '!$G$29))*(L117-'B.1 '!$G$29),0))</f>
        <v>135</v>
      </c>
      <c r="N117" s="276"/>
      <c r="O117" s="295"/>
      <c r="P117" s="420"/>
      <c r="Q117" s="297">
        <v>41</v>
      </c>
      <c r="R117" s="297">
        <f>IF(Q117&lt;='B.1 '!$L$24,'B.1 '!$M$24,IF(AND(Q117&lt;='B.1 '!$L$23,Q117&gt;'B.1 '!$L$24),0+(('B.1 '!$M$24-'B.1 '!$M$23)/('B.1 '!$L$24-'B.1 '!$L$23))*(Q117-'B.1 '!$L$23),0))</f>
        <v>25.757575757575758</v>
      </c>
      <c r="S117" s="421"/>
      <c r="T117" s="297"/>
      <c r="U117" s="297"/>
      <c r="V117" s="421"/>
      <c r="W117" s="297">
        <v>205</v>
      </c>
      <c r="X117" s="297">
        <f>IF(W117&lt;='B.1 '!$L$28,'B.1 '!$M$28,IF(AND(W117&lt;='B.1 '!$L$27,W117&gt;'B.1 '!$L$28),0+(('B.1 '!$M$28-'B.1 '!$M$27)/('B.1 '!$L$28-'B.1 '!$L$27))*(W117-'B.1 '!$L$27),0))</f>
        <v>0</v>
      </c>
      <c r="Y117" s="421"/>
      <c r="Z117" s="297">
        <v>20.5</v>
      </c>
      <c r="AA117" s="297">
        <f>IF(Z117&lt;='B.1 '!$L$30,'B.1 '!$M$30,IF(AND(Z117&lt;='B.1 '!$L$29,Z117&gt;'B.1 '!$L$30),0+(('B.1 '!$M$30-'B.1 '!$M$29)/('B.1 '!$L$30-'B.1 '!$L$29))*(Z117-'B.1 '!$L$29),0))</f>
        <v>135</v>
      </c>
      <c r="AB117" s="146"/>
    </row>
    <row r="118" spans="2:28">
      <c r="B118" s="145"/>
      <c r="C118" s="296"/>
      <c r="D118" s="296"/>
      <c r="E118" s="419"/>
      <c r="F118" s="296"/>
      <c r="G118" s="296"/>
      <c r="H118" s="419"/>
      <c r="I118" s="296">
        <v>210</v>
      </c>
      <c r="J118" s="296">
        <f>IF(I118&lt;='B.1 '!$G$28,'B.1 '!$H$28,IF(AND(I118&lt;='B.1 '!$G$27,I118&gt;'B.1 '!$G$28),0+(('B.1 '!$H$28-'B.1 '!$H$27)/('B.1 '!$G$28-'B.1 '!$G$27))*(I118-'B.1 '!$G$27),0))</f>
        <v>0</v>
      </c>
      <c r="K118" s="419"/>
      <c r="L118" s="296">
        <v>21</v>
      </c>
      <c r="M118" s="296">
        <f>IF(L118&lt;='B.1 '!$G$30,'B.1 '!$H$30,IF(AND(L118&lt;='B.1 '!$G$29,L118&gt;'B.1 '!$G$30),0+(('B.1 '!$H$30-'B.1 '!$H$29)/('B.1 '!$G$30-'B.1 '!$G$29))*(L118-'B.1 '!$G$29),0))</f>
        <v>135</v>
      </c>
      <c r="N118" s="276"/>
      <c r="O118" s="295"/>
      <c r="P118" s="420"/>
      <c r="Q118" s="297">
        <v>42</v>
      </c>
      <c r="R118" s="297">
        <f>IF(Q118&lt;='B.1 '!$L$24,'B.1 '!$M$24,IF(AND(Q118&lt;='B.1 '!$L$23,Q118&gt;'B.1 '!$L$24),0+(('B.1 '!$M$24-'B.1 '!$M$23)/('B.1 '!$L$24-'B.1 '!$L$23))*(Q118-'B.1 '!$L$23),0))</f>
        <v>24.242424242424242</v>
      </c>
      <c r="S118" s="421"/>
      <c r="T118" s="297"/>
      <c r="U118" s="297"/>
      <c r="V118" s="421"/>
      <c r="W118" s="297">
        <v>210</v>
      </c>
      <c r="X118" s="297">
        <f>IF(W118&lt;='B.1 '!$L$28,'B.1 '!$M$28,IF(AND(W118&lt;='B.1 '!$L$27,W118&gt;'B.1 '!$L$28),0+(('B.1 '!$M$28-'B.1 '!$M$27)/('B.1 '!$L$28-'B.1 '!$L$27))*(W118-'B.1 '!$L$27),0))</f>
        <v>0</v>
      </c>
      <c r="Y118" s="421"/>
      <c r="Z118" s="297">
        <v>21</v>
      </c>
      <c r="AA118" s="297">
        <f>IF(Z118&lt;='B.1 '!$L$30,'B.1 '!$M$30,IF(AND(Z118&lt;='B.1 '!$L$29,Z118&gt;'B.1 '!$L$30),0+(('B.1 '!$M$30-'B.1 '!$M$29)/('B.1 '!$L$30-'B.1 '!$L$29))*(Z118-'B.1 '!$L$29),0))</f>
        <v>135</v>
      </c>
      <c r="AB118" s="146"/>
    </row>
    <row r="119" spans="2:28">
      <c r="B119" s="145"/>
      <c r="C119" s="296"/>
      <c r="D119" s="296"/>
      <c r="E119" s="419"/>
      <c r="F119" s="296"/>
      <c r="G119" s="296"/>
      <c r="H119" s="419"/>
      <c r="I119" s="296"/>
      <c r="J119" s="296"/>
      <c r="K119" s="419"/>
      <c r="L119" s="296">
        <v>21.5</v>
      </c>
      <c r="M119" s="296">
        <f>IF(L119&lt;='B.1 '!$G$30,'B.1 '!$H$30,IF(AND(L119&lt;='B.1 '!$G$29,L119&gt;'B.1 '!$G$30),0+(('B.1 '!$H$30-'B.1 '!$H$29)/('B.1 '!$G$30-'B.1 '!$G$29))*(L119-'B.1 '!$G$29),0))</f>
        <v>135</v>
      </c>
      <c r="N119" s="276"/>
      <c r="O119" s="295"/>
      <c r="P119" s="420"/>
      <c r="Q119" s="297">
        <v>43</v>
      </c>
      <c r="R119" s="297">
        <f>IF(Q119&lt;='B.1 '!$L$24,'B.1 '!$M$24,IF(AND(Q119&lt;='B.1 '!$L$23,Q119&gt;'B.1 '!$L$24),0+(('B.1 '!$M$24-'B.1 '!$M$23)/('B.1 '!$L$24-'B.1 '!$L$23))*(Q119-'B.1 '!$L$23),0))</f>
        <v>22.727272727272727</v>
      </c>
      <c r="S119" s="421"/>
      <c r="T119" s="297"/>
      <c r="U119" s="297"/>
      <c r="V119" s="421"/>
      <c r="W119" s="297"/>
      <c r="X119" s="297"/>
      <c r="Y119" s="421"/>
      <c r="Z119" s="297">
        <v>21.5</v>
      </c>
      <c r="AA119" s="297">
        <f>IF(Z119&lt;='B.1 '!$L$30,'B.1 '!$M$30,IF(AND(Z119&lt;='B.1 '!$L$29,Z119&gt;'B.1 '!$L$30),0+(('B.1 '!$M$30-'B.1 '!$M$29)/('B.1 '!$L$30-'B.1 '!$L$29))*(Z119-'B.1 '!$L$29),0))</f>
        <v>135</v>
      </c>
      <c r="AB119" s="146"/>
    </row>
    <row r="120" spans="2:28">
      <c r="B120" s="145"/>
      <c r="C120" s="296"/>
      <c r="D120" s="296"/>
      <c r="E120" s="419"/>
      <c r="F120" s="296"/>
      <c r="G120" s="296"/>
      <c r="H120" s="419"/>
      <c r="I120" s="296"/>
      <c r="J120" s="296"/>
      <c r="K120" s="419"/>
      <c r="L120" s="296">
        <v>22</v>
      </c>
      <c r="M120" s="296">
        <f>IF(L120&lt;='B.1 '!$G$30,'B.1 '!$H$30,IF(AND(L120&lt;='B.1 '!$G$29,L120&gt;'B.1 '!$G$30),0+(('B.1 '!$H$30-'B.1 '!$H$29)/('B.1 '!$G$30-'B.1 '!$G$29))*(L120-'B.1 '!$G$29),0))</f>
        <v>135</v>
      </c>
      <c r="N120" s="276"/>
      <c r="O120" s="295"/>
      <c r="P120" s="420"/>
      <c r="Q120" s="297">
        <v>44</v>
      </c>
      <c r="R120" s="297">
        <f>IF(Q120&lt;='B.1 '!$L$24,'B.1 '!$M$24,IF(AND(Q120&lt;='B.1 '!$L$23,Q120&gt;'B.1 '!$L$24),0+(('B.1 '!$M$24-'B.1 '!$M$23)/('B.1 '!$L$24-'B.1 '!$L$23))*(Q120-'B.1 '!$L$23),0))</f>
        <v>21.212121212121211</v>
      </c>
      <c r="S120" s="421"/>
      <c r="T120" s="297"/>
      <c r="U120" s="297"/>
      <c r="V120" s="421"/>
      <c r="W120" s="297"/>
      <c r="X120" s="297"/>
      <c r="Y120" s="421"/>
      <c r="Z120" s="297">
        <v>22</v>
      </c>
      <c r="AA120" s="297">
        <f>IF(Z120&lt;='B.1 '!$L$30,'B.1 '!$M$30,IF(AND(Z120&lt;='B.1 '!$L$29,Z120&gt;'B.1 '!$L$30),0+(('B.1 '!$M$30-'B.1 '!$M$29)/('B.1 '!$L$30-'B.1 '!$L$29))*(Z120-'B.1 '!$L$29),0))</f>
        <v>135</v>
      </c>
      <c r="AB120" s="146"/>
    </row>
    <row r="121" spans="2:28">
      <c r="B121" s="145"/>
      <c r="C121" s="296"/>
      <c r="D121" s="296"/>
      <c r="E121" s="419"/>
      <c r="F121" s="296"/>
      <c r="G121" s="296"/>
      <c r="H121" s="419"/>
      <c r="I121" s="296"/>
      <c r="J121" s="296"/>
      <c r="K121" s="419"/>
      <c r="L121" s="296">
        <v>22.5</v>
      </c>
      <c r="M121" s="296">
        <f>IF(L121&lt;='B.1 '!$G$30,'B.1 '!$H$30,IF(AND(L121&lt;='B.1 '!$G$29,L121&gt;'B.1 '!$G$30),0+(('B.1 '!$H$30-'B.1 '!$H$29)/('B.1 '!$G$30-'B.1 '!$G$29))*(L121-'B.1 '!$G$29),0))</f>
        <v>135</v>
      </c>
      <c r="N121" s="276"/>
      <c r="O121" s="295"/>
      <c r="P121" s="420"/>
      <c r="Q121" s="297">
        <v>45</v>
      </c>
      <c r="R121" s="297">
        <f>IF(Q121&lt;='B.1 '!$L$24,'B.1 '!$M$24,IF(AND(Q121&lt;='B.1 '!$L$23,Q121&gt;'B.1 '!$L$24),0+(('B.1 '!$M$24-'B.1 '!$M$23)/('B.1 '!$L$24-'B.1 '!$L$23))*(Q121-'B.1 '!$L$23),0))</f>
        <v>19.696969696969695</v>
      </c>
      <c r="S121" s="421"/>
      <c r="T121" s="297"/>
      <c r="U121" s="297"/>
      <c r="V121" s="421"/>
      <c r="W121" s="297"/>
      <c r="X121" s="297"/>
      <c r="Y121" s="421"/>
      <c r="Z121" s="297">
        <v>22.5</v>
      </c>
      <c r="AA121" s="297">
        <f>IF(Z121&lt;='B.1 '!$L$30,'B.1 '!$M$30,IF(AND(Z121&lt;='B.1 '!$L$29,Z121&gt;'B.1 '!$L$30),0+(('B.1 '!$M$30-'B.1 '!$M$29)/('B.1 '!$L$30-'B.1 '!$L$29))*(Z121-'B.1 '!$L$29),0))</f>
        <v>135</v>
      </c>
      <c r="AB121" s="146"/>
    </row>
    <row r="122" spans="2:28">
      <c r="B122" s="145"/>
      <c r="C122" s="296"/>
      <c r="D122" s="296"/>
      <c r="E122" s="419"/>
      <c r="F122" s="296"/>
      <c r="G122" s="296"/>
      <c r="H122" s="419"/>
      <c r="I122" s="296"/>
      <c r="J122" s="296"/>
      <c r="K122" s="419"/>
      <c r="L122" s="296">
        <v>23</v>
      </c>
      <c r="M122" s="296">
        <f>IF(L122&lt;='B.1 '!$G$30,'B.1 '!$H$30,IF(AND(L122&lt;='B.1 '!$G$29,L122&gt;'B.1 '!$G$30),0+(('B.1 '!$H$30-'B.1 '!$H$29)/('B.1 '!$G$30-'B.1 '!$G$29))*(L122-'B.1 '!$G$29),0))</f>
        <v>135</v>
      </c>
      <c r="N122" s="276"/>
      <c r="O122" s="295"/>
      <c r="P122" s="420"/>
      <c r="Q122" s="297">
        <v>46</v>
      </c>
      <c r="R122" s="297">
        <f>IF(Q122&lt;='B.1 '!$L$24,'B.1 '!$M$24,IF(AND(Q122&lt;='B.1 '!$L$23,Q122&gt;'B.1 '!$L$24),0+(('B.1 '!$M$24-'B.1 '!$M$23)/('B.1 '!$L$24-'B.1 '!$L$23))*(Q122-'B.1 '!$L$23),0))</f>
        <v>18.18181818181818</v>
      </c>
      <c r="S122" s="421"/>
      <c r="T122" s="297"/>
      <c r="U122" s="297"/>
      <c r="V122" s="421"/>
      <c r="W122" s="297"/>
      <c r="X122" s="297"/>
      <c r="Y122" s="421"/>
      <c r="Z122" s="297">
        <v>23</v>
      </c>
      <c r="AA122" s="297">
        <f>IF(Z122&lt;='B.1 '!$L$30,'B.1 '!$M$30,IF(AND(Z122&lt;='B.1 '!$L$29,Z122&gt;'B.1 '!$L$30),0+(('B.1 '!$M$30-'B.1 '!$M$29)/('B.1 '!$L$30-'B.1 '!$L$29))*(Z122-'B.1 '!$L$29),0))</f>
        <v>135</v>
      </c>
      <c r="AB122" s="146"/>
    </row>
    <row r="123" spans="2:28">
      <c r="B123" s="145"/>
      <c r="C123" s="296"/>
      <c r="D123" s="296"/>
      <c r="E123" s="419"/>
      <c r="F123" s="296"/>
      <c r="G123" s="296"/>
      <c r="H123" s="419"/>
      <c r="I123" s="296"/>
      <c r="J123" s="296"/>
      <c r="K123" s="419"/>
      <c r="L123" s="296">
        <v>23.5</v>
      </c>
      <c r="M123" s="296">
        <f>IF(L123&lt;='B.1 '!$G$30,'B.1 '!$H$30,IF(AND(L123&lt;='B.1 '!$G$29,L123&gt;'B.1 '!$G$30),0+(('B.1 '!$H$30-'B.1 '!$H$29)/('B.1 '!$G$30-'B.1 '!$G$29))*(L123-'B.1 '!$G$29),0))</f>
        <v>135</v>
      </c>
      <c r="N123" s="276"/>
      <c r="O123" s="295"/>
      <c r="P123" s="420"/>
      <c r="Q123" s="297">
        <v>47</v>
      </c>
      <c r="R123" s="297">
        <f>IF(Q123&lt;='B.1 '!$L$24,'B.1 '!$M$24,IF(AND(Q123&lt;='B.1 '!$L$23,Q123&gt;'B.1 '!$L$24),0+(('B.1 '!$M$24-'B.1 '!$M$23)/('B.1 '!$L$24-'B.1 '!$L$23))*(Q123-'B.1 '!$L$23),0))</f>
        <v>16.666666666666668</v>
      </c>
      <c r="S123" s="421"/>
      <c r="T123" s="297"/>
      <c r="U123" s="297"/>
      <c r="V123" s="421"/>
      <c r="W123" s="297"/>
      <c r="X123" s="297"/>
      <c r="Y123" s="421"/>
      <c r="Z123" s="297">
        <v>23.5</v>
      </c>
      <c r="AA123" s="297">
        <f>IF(Z123&lt;='B.1 '!$L$30,'B.1 '!$M$30,IF(AND(Z123&lt;='B.1 '!$L$29,Z123&gt;'B.1 '!$L$30),0+(('B.1 '!$M$30-'B.1 '!$M$29)/('B.1 '!$L$30-'B.1 '!$L$29))*(Z123-'B.1 '!$L$29),0))</f>
        <v>135</v>
      </c>
      <c r="AB123" s="146"/>
    </row>
    <row r="124" spans="2:28">
      <c r="B124" s="145"/>
      <c r="C124" s="296"/>
      <c r="D124" s="296"/>
      <c r="E124" s="419"/>
      <c r="F124" s="296"/>
      <c r="G124" s="296"/>
      <c r="H124" s="419"/>
      <c r="I124" s="296"/>
      <c r="J124" s="296"/>
      <c r="K124" s="419"/>
      <c r="L124" s="296">
        <v>24</v>
      </c>
      <c r="M124" s="296">
        <f>IF(L124&lt;='B.1 '!$G$30,'B.1 '!$H$30,IF(AND(L124&lt;='B.1 '!$G$29,L124&gt;'B.1 '!$G$30),0+(('B.1 '!$H$30-'B.1 '!$H$29)/('B.1 '!$G$30-'B.1 '!$G$29))*(L124-'B.1 '!$G$29),0))</f>
        <v>135</v>
      </c>
      <c r="N124" s="276"/>
      <c r="O124" s="295"/>
      <c r="P124" s="420"/>
      <c r="Q124" s="297">
        <v>48</v>
      </c>
      <c r="R124" s="297">
        <f>IF(Q124&lt;='B.1 '!$L$24,'B.1 '!$M$24,IF(AND(Q124&lt;='B.1 '!$L$23,Q124&gt;'B.1 '!$L$24),0+(('B.1 '!$M$24-'B.1 '!$M$23)/('B.1 '!$L$24-'B.1 '!$L$23))*(Q124-'B.1 '!$L$23),0))</f>
        <v>15.151515151515152</v>
      </c>
      <c r="S124" s="421"/>
      <c r="T124" s="297"/>
      <c r="U124" s="297"/>
      <c r="V124" s="421"/>
      <c r="W124" s="297"/>
      <c r="X124" s="297"/>
      <c r="Y124" s="421"/>
      <c r="Z124" s="297">
        <v>24</v>
      </c>
      <c r="AA124" s="297">
        <f>IF(Z124&lt;='B.1 '!$L$30,'B.1 '!$M$30,IF(AND(Z124&lt;='B.1 '!$L$29,Z124&gt;'B.1 '!$L$30),0+(('B.1 '!$M$30-'B.1 '!$M$29)/('B.1 '!$L$30-'B.1 '!$L$29))*(Z124-'B.1 '!$L$29),0))</f>
        <v>135</v>
      </c>
      <c r="AB124" s="146"/>
    </row>
    <row r="125" spans="2:28">
      <c r="B125" s="145"/>
      <c r="C125" s="296"/>
      <c r="D125" s="296"/>
      <c r="E125" s="419"/>
      <c r="F125" s="296"/>
      <c r="G125" s="296"/>
      <c r="H125" s="419"/>
      <c r="I125" s="296"/>
      <c r="J125" s="296"/>
      <c r="K125" s="419"/>
      <c r="L125" s="296">
        <v>24.5</v>
      </c>
      <c r="M125" s="296">
        <f>IF(L125&lt;='B.1 '!$G$30,'B.1 '!$H$30,IF(AND(L125&lt;='B.1 '!$G$29,L125&gt;'B.1 '!$G$30),0+(('B.1 '!$H$30-'B.1 '!$H$29)/('B.1 '!$G$30-'B.1 '!$G$29))*(L125-'B.1 '!$G$29),0))</f>
        <v>135</v>
      </c>
      <c r="N125" s="276"/>
      <c r="O125" s="295"/>
      <c r="P125" s="420"/>
      <c r="Q125" s="297">
        <v>49</v>
      </c>
      <c r="R125" s="297">
        <f>IF(Q125&lt;='B.1 '!$L$24,'B.1 '!$M$24,IF(AND(Q125&lt;='B.1 '!$L$23,Q125&gt;'B.1 '!$L$24),0+(('B.1 '!$M$24-'B.1 '!$M$23)/('B.1 '!$L$24-'B.1 '!$L$23))*(Q125-'B.1 '!$L$23),0))</f>
        <v>13.636363636363637</v>
      </c>
      <c r="S125" s="421"/>
      <c r="T125" s="297"/>
      <c r="U125" s="297"/>
      <c r="V125" s="421"/>
      <c r="W125" s="297"/>
      <c r="X125" s="297"/>
      <c r="Y125" s="421"/>
      <c r="Z125" s="297">
        <v>24.5</v>
      </c>
      <c r="AA125" s="297">
        <f>IF(Z125&lt;='B.1 '!$L$30,'B.1 '!$M$30,IF(AND(Z125&lt;='B.1 '!$L$29,Z125&gt;'B.1 '!$L$30),0+(('B.1 '!$M$30-'B.1 '!$M$29)/('B.1 '!$L$30-'B.1 '!$L$29))*(Z125-'B.1 '!$L$29),0))</f>
        <v>135</v>
      </c>
      <c r="AB125" s="146"/>
    </row>
    <row r="126" spans="2:28">
      <c r="B126" s="145"/>
      <c r="C126" s="296"/>
      <c r="D126" s="296"/>
      <c r="E126" s="419"/>
      <c r="F126" s="296"/>
      <c r="G126" s="296"/>
      <c r="H126" s="419"/>
      <c r="I126" s="296"/>
      <c r="J126" s="296"/>
      <c r="K126" s="419"/>
      <c r="L126" s="296">
        <v>25</v>
      </c>
      <c r="M126" s="296">
        <f>IF(L126&lt;='B.1 '!$G$30,'B.1 '!$H$30,IF(AND(L126&lt;='B.1 '!$G$29,L126&gt;'B.1 '!$G$30),0+(('B.1 '!$H$30-'B.1 '!$H$29)/('B.1 '!$G$30-'B.1 '!$G$29))*(L126-'B.1 '!$G$29),0))</f>
        <v>135</v>
      </c>
      <c r="N126" s="276"/>
      <c r="O126" s="295"/>
      <c r="P126" s="420"/>
      <c r="Q126" s="297">
        <v>50</v>
      </c>
      <c r="R126" s="297">
        <f>IF(Q126&lt;='B.1 '!$L$24,'B.1 '!$M$24,IF(AND(Q126&lt;='B.1 '!$L$23,Q126&gt;'B.1 '!$L$24),0+(('B.1 '!$M$24-'B.1 '!$M$23)/('B.1 '!$L$24-'B.1 '!$L$23))*(Q126-'B.1 '!$L$23),0))</f>
        <v>12.121212121212121</v>
      </c>
      <c r="S126" s="421"/>
      <c r="T126" s="297"/>
      <c r="U126" s="297"/>
      <c r="V126" s="421"/>
      <c r="W126" s="297"/>
      <c r="X126" s="297"/>
      <c r="Y126" s="421"/>
      <c r="Z126" s="297">
        <v>25</v>
      </c>
      <c r="AA126" s="297">
        <f>IF(Z126&lt;='B.1 '!$L$30,'B.1 '!$M$30,IF(AND(Z126&lt;='B.1 '!$L$29,Z126&gt;'B.1 '!$L$30),0+(('B.1 '!$M$30-'B.1 '!$M$29)/('B.1 '!$L$30-'B.1 '!$L$29))*(Z126-'B.1 '!$L$29),0))</f>
        <v>135</v>
      </c>
      <c r="AB126" s="146"/>
    </row>
    <row r="127" spans="2:28">
      <c r="B127" s="145"/>
      <c r="C127" s="296"/>
      <c r="D127" s="296"/>
      <c r="E127" s="419"/>
      <c r="F127" s="296"/>
      <c r="G127" s="296"/>
      <c r="H127" s="419"/>
      <c r="I127" s="296"/>
      <c r="J127" s="296"/>
      <c r="K127" s="419"/>
      <c r="L127" s="296">
        <v>25.5</v>
      </c>
      <c r="M127" s="296">
        <f>IF(L127&lt;='B.1 '!$G$30,'B.1 '!$H$30,IF(AND(L127&lt;='B.1 '!$G$29,L127&gt;'B.1 '!$G$30),0+(('B.1 '!$H$30-'B.1 '!$H$29)/('B.1 '!$G$30-'B.1 '!$G$29))*(L127-'B.1 '!$G$29),0))</f>
        <v>128.25</v>
      </c>
      <c r="N127" s="276"/>
      <c r="O127" s="295"/>
      <c r="P127" s="420"/>
      <c r="Q127" s="297">
        <v>51</v>
      </c>
      <c r="R127" s="297">
        <f>IF(Q127&lt;='B.1 '!$L$24,'B.1 '!$M$24,IF(AND(Q127&lt;='B.1 '!$L$23,Q127&gt;'B.1 '!$L$24),0+(('B.1 '!$M$24-'B.1 '!$M$23)/('B.1 '!$L$24-'B.1 '!$L$23))*(Q127-'B.1 '!$L$23),0))</f>
        <v>10.606060606060606</v>
      </c>
      <c r="S127" s="421"/>
      <c r="T127" s="297"/>
      <c r="U127" s="297"/>
      <c r="V127" s="421"/>
      <c r="W127" s="297"/>
      <c r="X127" s="297"/>
      <c r="Y127" s="421"/>
      <c r="Z127" s="297">
        <v>25.5</v>
      </c>
      <c r="AA127" s="297">
        <f>IF(Z127&lt;='B.1 '!$L$30,'B.1 '!$M$30,IF(AND(Z127&lt;='B.1 '!$L$29,Z127&gt;'B.1 '!$L$30),0+(('B.1 '!$M$30-'B.1 '!$M$29)/('B.1 '!$L$30-'B.1 '!$L$29))*(Z127-'B.1 '!$L$29),0))</f>
        <v>135</v>
      </c>
      <c r="AB127" s="146"/>
    </row>
    <row r="128" spans="2:28">
      <c r="B128" s="145"/>
      <c r="C128" s="296"/>
      <c r="D128" s="296"/>
      <c r="E128" s="419"/>
      <c r="F128" s="296"/>
      <c r="G128" s="296"/>
      <c r="H128" s="419"/>
      <c r="I128" s="296"/>
      <c r="J128" s="296"/>
      <c r="K128" s="419"/>
      <c r="L128" s="296">
        <v>26</v>
      </c>
      <c r="M128" s="296">
        <f>IF(L128&lt;='B.1 '!$G$30,'B.1 '!$H$30,IF(AND(L128&lt;='B.1 '!$G$29,L128&gt;'B.1 '!$G$30),0+(('B.1 '!$H$30-'B.1 '!$H$29)/('B.1 '!$G$30-'B.1 '!$G$29))*(L128-'B.1 '!$G$29),0))</f>
        <v>121.5</v>
      </c>
      <c r="N128" s="276"/>
      <c r="O128" s="295"/>
      <c r="P128" s="420"/>
      <c r="Q128" s="297">
        <v>52</v>
      </c>
      <c r="R128" s="297">
        <f>IF(Q128&lt;='B.1 '!$L$24,'B.1 '!$M$24,IF(AND(Q128&lt;='B.1 '!$L$23,Q128&gt;'B.1 '!$L$24),0+(('B.1 '!$M$24-'B.1 '!$M$23)/('B.1 '!$L$24-'B.1 '!$L$23))*(Q128-'B.1 '!$L$23),0))</f>
        <v>9.0909090909090899</v>
      </c>
      <c r="S128" s="421"/>
      <c r="T128" s="297"/>
      <c r="U128" s="297"/>
      <c r="V128" s="421"/>
      <c r="W128" s="297"/>
      <c r="X128" s="297"/>
      <c r="Y128" s="421"/>
      <c r="Z128" s="297">
        <v>26</v>
      </c>
      <c r="AA128" s="297">
        <f>IF(Z128&lt;='B.1 '!$L$30,'B.1 '!$M$30,IF(AND(Z128&lt;='B.1 '!$L$29,Z128&gt;'B.1 '!$L$30),0+(('B.1 '!$M$30-'B.1 '!$M$29)/('B.1 '!$L$30-'B.1 '!$L$29))*(Z128-'B.1 '!$L$29),0))</f>
        <v>135</v>
      </c>
      <c r="AB128" s="146"/>
    </row>
    <row r="129" spans="2:28">
      <c r="B129" s="145"/>
      <c r="C129" s="296"/>
      <c r="D129" s="296"/>
      <c r="E129" s="419"/>
      <c r="F129" s="296"/>
      <c r="G129" s="296"/>
      <c r="H129" s="419"/>
      <c r="I129" s="296"/>
      <c r="J129" s="296"/>
      <c r="K129" s="419"/>
      <c r="L129" s="296">
        <v>26.5</v>
      </c>
      <c r="M129" s="296">
        <f>IF(L129&lt;='B.1 '!$G$30,'B.1 '!$H$30,IF(AND(L129&lt;='B.1 '!$G$29,L129&gt;'B.1 '!$G$30),0+(('B.1 '!$H$30-'B.1 '!$H$29)/('B.1 '!$G$30-'B.1 '!$G$29))*(L129-'B.1 '!$G$29),0))</f>
        <v>114.75</v>
      </c>
      <c r="N129" s="276"/>
      <c r="O129" s="295"/>
      <c r="P129" s="420"/>
      <c r="Q129" s="297">
        <v>53</v>
      </c>
      <c r="R129" s="297">
        <f>IF(Q129&lt;='B.1 '!$L$24,'B.1 '!$M$24,IF(AND(Q129&lt;='B.1 '!$L$23,Q129&gt;'B.1 '!$L$24),0+(('B.1 '!$M$24-'B.1 '!$M$23)/('B.1 '!$L$24-'B.1 '!$L$23))*(Q129-'B.1 '!$L$23),0))</f>
        <v>7.5757575757575761</v>
      </c>
      <c r="S129" s="421"/>
      <c r="T129" s="297"/>
      <c r="U129" s="297"/>
      <c r="V129" s="421"/>
      <c r="W129" s="297"/>
      <c r="X129" s="297"/>
      <c r="Y129" s="421"/>
      <c r="Z129" s="297">
        <v>26.5</v>
      </c>
      <c r="AA129" s="297">
        <f>IF(Z129&lt;='B.1 '!$L$30,'B.1 '!$M$30,IF(AND(Z129&lt;='B.1 '!$L$29,Z129&gt;'B.1 '!$L$30),0+(('B.1 '!$M$30-'B.1 '!$M$29)/('B.1 '!$L$30-'B.1 '!$L$29))*(Z129-'B.1 '!$L$29),0))</f>
        <v>135</v>
      </c>
      <c r="AB129" s="146"/>
    </row>
    <row r="130" spans="2:28">
      <c r="B130" s="145"/>
      <c r="C130" s="296"/>
      <c r="D130" s="296"/>
      <c r="E130" s="419"/>
      <c r="F130" s="296"/>
      <c r="G130" s="296"/>
      <c r="H130" s="419"/>
      <c r="I130" s="296"/>
      <c r="J130" s="296"/>
      <c r="K130" s="419"/>
      <c r="L130" s="296">
        <v>27</v>
      </c>
      <c r="M130" s="296">
        <f>IF(L130&lt;='B.1 '!$G$30,'B.1 '!$H$30,IF(AND(L130&lt;='B.1 '!$G$29,L130&gt;'B.1 '!$G$30),0+(('B.1 '!$H$30-'B.1 '!$H$29)/('B.1 '!$G$30-'B.1 '!$G$29))*(L130-'B.1 '!$G$29),0))</f>
        <v>108</v>
      </c>
      <c r="N130" s="276"/>
      <c r="O130" s="295"/>
      <c r="P130" s="420"/>
      <c r="Q130" s="297">
        <v>54</v>
      </c>
      <c r="R130" s="297">
        <f>IF(Q130&lt;='B.1 '!$L$24,'B.1 '!$M$24,IF(AND(Q130&lt;='B.1 '!$L$23,Q130&gt;'B.1 '!$L$24),0+(('B.1 '!$M$24-'B.1 '!$M$23)/('B.1 '!$L$24-'B.1 '!$L$23))*(Q130-'B.1 '!$L$23),0))</f>
        <v>6.0606060606060606</v>
      </c>
      <c r="S130" s="421"/>
      <c r="T130" s="297"/>
      <c r="U130" s="297"/>
      <c r="V130" s="421"/>
      <c r="W130" s="297"/>
      <c r="X130" s="297"/>
      <c r="Y130" s="421"/>
      <c r="Z130" s="297">
        <v>27</v>
      </c>
      <c r="AA130" s="297">
        <f>IF(Z130&lt;='B.1 '!$L$30,'B.1 '!$M$30,IF(AND(Z130&lt;='B.1 '!$L$29,Z130&gt;'B.1 '!$L$30),0+(('B.1 '!$M$30-'B.1 '!$M$29)/('B.1 '!$L$30-'B.1 '!$L$29))*(Z130-'B.1 '!$L$29),0))</f>
        <v>135</v>
      </c>
      <c r="AB130" s="146"/>
    </row>
    <row r="131" spans="2:28">
      <c r="B131" s="145"/>
      <c r="C131" s="296"/>
      <c r="D131" s="296"/>
      <c r="E131" s="419"/>
      <c r="F131" s="296"/>
      <c r="G131" s="296"/>
      <c r="H131" s="419"/>
      <c r="I131" s="296"/>
      <c r="J131" s="296"/>
      <c r="K131" s="419"/>
      <c r="L131" s="296">
        <v>27.5</v>
      </c>
      <c r="M131" s="296">
        <f>IF(L131&lt;='B.1 '!$G$30,'B.1 '!$H$30,IF(AND(L131&lt;='B.1 '!$G$29,L131&gt;'B.1 '!$G$30),0+(('B.1 '!$H$30-'B.1 '!$H$29)/('B.1 '!$G$30-'B.1 '!$G$29))*(L131-'B.1 '!$G$29),0))</f>
        <v>101.25</v>
      </c>
      <c r="N131" s="276"/>
      <c r="O131" s="295"/>
      <c r="P131" s="420"/>
      <c r="Q131" s="297">
        <v>55</v>
      </c>
      <c r="R131" s="297">
        <f>IF(Q131&lt;='B.1 '!$L$24,'B.1 '!$M$24,IF(AND(Q131&lt;='B.1 '!$L$23,Q131&gt;'B.1 '!$L$24),0+(('B.1 '!$M$24-'B.1 '!$M$23)/('B.1 '!$L$24-'B.1 '!$L$23))*(Q131-'B.1 '!$L$23),0))</f>
        <v>4.545454545454545</v>
      </c>
      <c r="S131" s="421"/>
      <c r="T131" s="297"/>
      <c r="U131" s="297"/>
      <c r="V131" s="421"/>
      <c r="W131" s="297"/>
      <c r="X131" s="297"/>
      <c r="Y131" s="421"/>
      <c r="Z131" s="297">
        <v>27.5</v>
      </c>
      <c r="AA131" s="297">
        <f>IF(Z131&lt;='B.1 '!$L$30,'B.1 '!$M$30,IF(AND(Z131&lt;='B.1 '!$L$29,Z131&gt;'B.1 '!$L$30),0+(('B.1 '!$M$30-'B.1 '!$M$29)/('B.1 '!$L$30-'B.1 '!$L$29))*(Z131-'B.1 '!$L$29),0))</f>
        <v>135</v>
      </c>
      <c r="AB131" s="146"/>
    </row>
    <row r="132" spans="2:28">
      <c r="B132" s="145"/>
      <c r="C132" s="296"/>
      <c r="D132" s="296"/>
      <c r="E132" s="419"/>
      <c r="F132" s="296"/>
      <c r="G132" s="296"/>
      <c r="H132" s="419"/>
      <c r="I132" s="296"/>
      <c r="J132" s="296"/>
      <c r="K132" s="419"/>
      <c r="L132" s="296">
        <v>28</v>
      </c>
      <c r="M132" s="296">
        <f>IF(L132&lt;='B.1 '!$G$30,'B.1 '!$H$30,IF(AND(L132&lt;='B.1 '!$G$29,L132&gt;'B.1 '!$G$30),0+(('B.1 '!$H$30-'B.1 '!$H$29)/('B.1 '!$G$30-'B.1 '!$G$29))*(L132-'B.1 '!$G$29),0))</f>
        <v>94.5</v>
      </c>
      <c r="N132" s="276"/>
      <c r="O132" s="295"/>
      <c r="P132" s="420"/>
      <c r="Q132" s="297">
        <v>56</v>
      </c>
      <c r="R132" s="297">
        <f>IF(Q132&lt;='B.1 '!$L$24,'B.1 '!$M$24,IF(AND(Q132&lt;='B.1 '!$L$23,Q132&gt;'B.1 '!$L$24),0+(('B.1 '!$M$24-'B.1 '!$M$23)/('B.1 '!$L$24-'B.1 '!$L$23))*(Q132-'B.1 '!$L$23),0))</f>
        <v>3.0303030303030303</v>
      </c>
      <c r="S132" s="421"/>
      <c r="T132" s="297"/>
      <c r="U132" s="297"/>
      <c r="V132" s="421"/>
      <c r="W132" s="297"/>
      <c r="X132" s="297"/>
      <c r="Y132" s="421"/>
      <c r="Z132" s="297">
        <v>28</v>
      </c>
      <c r="AA132" s="297">
        <f>IF(Z132&lt;='B.1 '!$L$30,'B.1 '!$M$30,IF(AND(Z132&lt;='B.1 '!$L$29,Z132&gt;'B.1 '!$L$30),0+(('B.1 '!$M$30-'B.1 '!$M$29)/('B.1 '!$L$30-'B.1 '!$L$29))*(Z132-'B.1 '!$L$29),0))</f>
        <v>135</v>
      </c>
      <c r="AB132" s="146"/>
    </row>
    <row r="133" spans="2:28">
      <c r="B133" s="145"/>
      <c r="C133" s="296"/>
      <c r="D133" s="296"/>
      <c r="E133" s="419"/>
      <c r="F133" s="296"/>
      <c r="G133" s="296"/>
      <c r="H133" s="419"/>
      <c r="I133" s="296"/>
      <c r="J133" s="296"/>
      <c r="K133" s="419"/>
      <c r="L133" s="296">
        <v>28.5</v>
      </c>
      <c r="M133" s="296">
        <f>IF(L133&lt;='B.1 '!$G$30,'B.1 '!$H$30,IF(AND(L133&lt;='B.1 '!$G$29,L133&gt;'B.1 '!$G$30),0+(('B.1 '!$H$30-'B.1 '!$H$29)/('B.1 '!$G$30-'B.1 '!$G$29))*(L133-'B.1 '!$G$29),0))</f>
        <v>87.75</v>
      </c>
      <c r="N133" s="276"/>
      <c r="O133" s="295"/>
      <c r="P133" s="420"/>
      <c r="Q133" s="297">
        <v>57</v>
      </c>
      <c r="R133" s="297">
        <f>IF(Q133&lt;='B.1 '!$L$24,'B.1 '!$M$24,IF(AND(Q133&lt;='B.1 '!$L$23,Q133&gt;'B.1 '!$L$24),0+(('B.1 '!$M$24-'B.1 '!$M$23)/('B.1 '!$L$24-'B.1 '!$L$23))*(Q133-'B.1 '!$L$23),0))</f>
        <v>1.5151515151515151</v>
      </c>
      <c r="S133" s="421"/>
      <c r="T133" s="297"/>
      <c r="U133" s="297"/>
      <c r="V133" s="421"/>
      <c r="W133" s="297"/>
      <c r="X133" s="297"/>
      <c r="Y133" s="421"/>
      <c r="Z133" s="297">
        <v>28.5</v>
      </c>
      <c r="AA133" s="297">
        <f>IF(Z133&lt;='B.1 '!$L$30,'B.1 '!$M$30,IF(AND(Z133&lt;='B.1 '!$L$29,Z133&gt;'B.1 '!$L$30),0+(('B.1 '!$M$30-'B.1 '!$M$29)/('B.1 '!$L$30-'B.1 '!$L$29))*(Z133-'B.1 '!$L$29),0))</f>
        <v>135</v>
      </c>
      <c r="AB133" s="146"/>
    </row>
    <row r="134" spans="2:28">
      <c r="B134" s="145"/>
      <c r="C134" s="296"/>
      <c r="D134" s="296"/>
      <c r="E134" s="419"/>
      <c r="F134" s="296"/>
      <c r="G134" s="296"/>
      <c r="H134" s="419"/>
      <c r="I134" s="296"/>
      <c r="J134" s="296"/>
      <c r="K134" s="419"/>
      <c r="L134" s="296">
        <v>29</v>
      </c>
      <c r="M134" s="296">
        <f>IF(L134&lt;='B.1 '!$G$30,'B.1 '!$H$30,IF(AND(L134&lt;='B.1 '!$G$29,L134&gt;'B.1 '!$G$30),0+(('B.1 '!$H$30-'B.1 '!$H$29)/('B.1 '!$G$30-'B.1 '!$G$29))*(L134-'B.1 '!$G$29),0))</f>
        <v>81</v>
      </c>
      <c r="N134" s="276"/>
      <c r="O134" s="295"/>
      <c r="P134" s="420"/>
      <c r="Q134" s="297">
        <v>58</v>
      </c>
      <c r="R134" s="297">
        <f>IF(Q134&lt;='B.1 '!$L$24,'B.1 '!$M$24,IF(AND(Q134&lt;='B.1 '!$L$23,Q134&gt;'B.1 '!$L$24),0+(('B.1 '!$M$24-'B.1 '!$M$23)/('B.1 '!$L$24-'B.1 '!$L$23))*(Q134-'B.1 '!$L$23),0))</f>
        <v>0</v>
      </c>
      <c r="S134" s="421"/>
      <c r="T134" s="297"/>
      <c r="U134" s="297"/>
      <c r="V134" s="421"/>
      <c r="W134" s="297"/>
      <c r="X134" s="297"/>
      <c r="Y134" s="421"/>
      <c r="Z134" s="297">
        <v>29</v>
      </c>
      <c r="AA134" s="297">
        <f>IF(Z134&lt;='B.1 '!$L$30,'B.1 '!$M$30,IF(AND(Z134&lt;='B.1 '!$L$29,Z134&gt;'B.1 '!$L$30),0+(('B.1 '!$M$30-'B.1 '!$M$29)/('B.1 '!$L$30-'B.1 '!$L$29))*(Z134-'B.1 '!$L$29),0))</f>
        <v>130.90909090909091</v>
      </c>
      <c r="AB134" s="146"/>
    </row>
    <row r="135" spans="2:28">
      <c r="B135" s="145"/>
      <c r="C135" s="296"/>
      <c r="D135" s="296"/>
      <c r="E135" s="419"/>
      <c r="F135" s="296"/>
      <c r="G135" s="296"/>
      <c r="H135" s="419"/>
      <c r="I135" s="296"/>
      <c r="J135" s="296"/>
      <c r="K135" s="419"/>
      <c r="L135" s="296">
        <v>29.5</v>
      </c>
      <c r="M135" s="296">
        <f>IF(L135&lt;='B.1 '!$G$30,'B.1 '!$H$30,IF(AND(L135&lt;='B.1 '!$G$29,L135&gt;'B.1 '!$G$30),0+(('B.1 '!$H$30-'B.1 '!$H$29)/('B.1 '!$G$30-'B.1 '!$G$29))*(L135-'B.1 '!$G$29),0))</f>
        <v>74.25</v>
      </c>
      <c r="N135" s="276"/>
      <c r="O135" s="295"/>
      <c r="P135" s="420"/>
      <c r="Q135" s="297">
        <v>59</v>
      </c>
      <c r="R135" s="297">
        <f>IF(Q135&lt;='B.1 '!$L$24,'B.1 '!$M$24,IF(AND(Q135&lt;='B.1 '!$L$23,Q135&gt;'B.1 '!$L$24),0+(('B.1 '!$M$24-'B.1 '!$M$23)/('B.1 '!$L$24-'B.1 '!$L$23))*(Q135-'B.1 '!$L$23),0))</f>
        <v>0</v>
      </c>
      <c r="S135" s="421"/>
      <c r="T135" s="297"/>
      <c r="U135" s="297"/>
      <c r="V135" s="421"/>
      <c r="W135" s="297"/>
      <c r="X135" s="297"/>
      <c r="Y135" s="421"/>
      <c r="Z135" s="297">
        <v>29.5</v>
      </c>
      <c r="AA135" s="297">
        <f>IF(Z135&lt;='B.1 '!$L$30,'B.1 '!$M$30,IF(AND(Z135&lt;='B.1 '!$L$29,Z135&gt;'B.1 '!$L$30),0+(('B.1 '!$M$30-'B.1 '!$M$29)/('B.1 '!$L$30-'B.1 '!$L$29))*(Z135-'B.1 '!$L$29),0))</f>
        <v>126.81818181818181</v>
      </c>
      <c r="AB135" s="146"/>
    </row>
    <row r="136" spans="2:28">
      <c r="B136" s="145"/>
      <c r="C136" s="296"/>
      <c r="D136" s="296"/>
      <c r="E136" s="419"/>
      <c r="F136" s="296"/>
      <c r="G136" s="296"/>
      <c r="H136" s="419"/>
      <c r="I136" s="296"/>
      <c r="J136" s="296"/>
      <c r="K136" s="419"/>
      <c r="L136" s="296">
        <v>30</v>
      </c>
      <c r="M136" s="296">
        <f>IF(L136&lt;='B.1 '!$G$30,'B.1 '!$H$30,IF(AND(L136&lt;='B.1 '!$G$29,L136&gt;'B.1 '!$G$30),0+(('B.1 '!$H$30-'B.1 '!$H$29)/('B.1 '!$G$30-'B.1 '!$G$29))*(L136-'B.1 '!$G$29),0))</f>
        <v>67.5</v>
      </c>
      <c r="N136" s="276"/>
      <c r="O136" s="295"/>
      <c r="P136" s="420"/>
      <c r="Q136" s="297">
        <v>60</v>
      </c>
      <c r="R136" s="297">
        <f>IF(Q136&lt;='B.1 '!$L$24,'B.1 '!$M$24,IF(AND(Q136&lt;='B.1 '!$L$23,Q136&gt;'B.1 '!$L$24),0+(('B.1 '!$M$24-'B.1 '!$M$23)/('B.1 '!$L$24-'B.1 '!$L$23))*(Q136-'B.1 '!$L$23),0))</f>
        <v>0</v>
      </c>
      <c r="S136" s="421"/>
      <c r="T136" s="297"/>
      <c r="U136" s="297"/>
      <c r="V136" s="421"/>
      <c r="W136" s="297"/>
      <c r="X136" s="297"/>
      <c r="Y136" s="421"/>
      <c r="Z136" s="297">
        <v>30</v>
      </c>
      <c r="AA136" s="297">
        <f>IF(Z136&lt;='B.1 '!$L$30,'B.1 '!$M$30,IF(AND(Z136&lt;='B.1 '!$L$29,Z136&gt;'B.1 '!$L$30),0+(('B.1 '!$M$30-'B.1 '!$M$29)/('B.1 '!$L$30-'B.1 '!$L$29))*(Z136-'B.1 '!$L$29),0))</f>
        <v>122.72727272727272</v>
      </c>
      <c r="AB136" s="146"/>
    </row>
    <row r="137" spans="2:28">
      <c r="B137" s="145"/>
      <c r="C137" s="296"/>
      <c r="D137" s="296"/>
      <c r="E137" s="419"/>
      <c r="F137" s="296"/>
      <c r="G137" s="296"/>
      <c r="H137" s="419"/>
      <c r="I137" s="296"/>
      <c r="J137" s="296"/>
      <c r="K137" s="419"/>
      <c r="L137" s="296">
        <v>30.5</v>
      </c>
      <c r="M137" s="296">
        <f>IF(L137&lt;='B.1 '!$G$30,'B.1 '!$H$30,IF(AND(L137&lt;='B.1 '!$G$29,L137&gt;'B.1 '!$G$30),0+(('B.1 '!$H$30-'B.1 '!$H$29)/('B.1 '!$G$30-'B.1 '!$G$29))*(L137-'B.1 '!$G$29),0))</f>
        <v>60.75</v>
      </c>
      <c r="N137" s="276"/>
      <c r="O137" s="295"/>
      <c r="P137" s="420"/>
      <c r="Q137" s="297">
        <v>61</v>
      </c>
      <c r="R137" s="297">
        <f>IF(Q137&lt;='B.1 '!$L$24,'B.1 '!$M$24,IF(AND(Q137&lt;='B.1 '!$L$23,Q137&gt;'B.1 '!$L$24),0+(('B.1 '!$M$24-'B.1 '!$M$23)/('B.1 '!$L$24-'B.1 '!$L$23))*(Q137-'B.1 '!$L$23),0))</f>
        <v>0</v>
      </c>
      <c r="S137" s="421"/>
      <c r="T137" s="297"/>
      <c r="U137" s="297"/>
      <c r="V137" s="421"/>
      <c r="W137" s="297"/>
      <c r="X137" s="297"/>
      <c r="Y137" s="421"/>
      <c r="Z137" s="297">
        <v>30.5</v>
      </c>
      <c r="AA137" s="297">
        <f>IF(Z137&lt;='B.1 '!$L$30,'B.1 '!$M$30,IF(AND(Z137&lt;='B.1 '!$L$29,Z137&gt;'B.1 '!$L$30),0+(('B.1 '!$M$30-'B.1 '!$M$29)/('B.1 '!$L$30-'B.1 '!$L$29))*(Z137-'B.1 '!$L$29),0))</f>
        <v>118.63636363636364</v>
      </c>
      <c r="AB137" s="146"/>
    </row>
    <row r="138" spans="2:28">
      <c r="B138" s="145"/>
      <c r="C138" s="296"/>
      <c r="D138" s="296"/>
      <c r="E138" s="276"/>
      <c r="F138" s="296"/>
      <c r="G138" s="296"/>
      <c r="H138" s="276"/>
      <c r="I138" s="296"/>
      <c r="J138" s="296"/>
      <c r="K138" s="276"/>
      <c r="L138" s="296">
        <v>31</v>
      </c>
      <c r="M138" s="296">
        <f>IF(L138&lt;='B.1 '!$G$30,'B.1 '!$H$30,IF(AND(L138&lt;='B.1 '!$G$29,L138&gt;'B.1 '!$G$30),0+(('B.1 '!$H$30-'B.1 '!$H$29)/('B.1 '!$G$30-'B.1 '!$G$29))*(L138-'B.1 '!$G$29),0))</f>
        <v>54</v>
      </c>
      <c r="N138" s="276"/>
      <c r="O138" s="295"/>
      <c r="P138" s="420"/>
      <c r="Q138" s="297">
        <v>62</v>
      </c>
      <c r="R138" s="297">
        <f>IF(Q138&lt;='B.1 '!$L$24,'B.1 '!$M$24,IF(AND(Q138&lt;='B.1 '!$L$23,Q138&gt;'B.1 '!$L$24),0+(('B.1 '!$M$24-'B.1 '!$M$23)/('B.1 '!$L$24-'B.1 '!$L$23))*(Q138-'B.1 '!$L$23),0))</f>
        <v>0</v>
      </c>
      <c r="S138" s="420"/>
      <c r="T138" s="297"/>
      <c r="U138" s="297"/>
      <c r="V138" s="422"/>
      <c r="W138" s="297"/>
      <c r="X138" s="297"/>
      <c r="Y138" s="422"/>
      <c r="Z138" s="297">
        <v>31</v>
      </c>
      <c r="AA138" s="297">
        <f>IF(Z138&lt;='B.1 '!$L$30,'B.1 '!$M$30,IF(AND(Z138&lt;='B.1 '!$L$29,Z138&gt;'B.1 '!$L$30),0+(('B.1 '!$M$30-'B.1 '!$M$29)/('B.1 '!$L$30-'B.1 '!$L$29))*(Z138-'B.1 '!$L$29),0))</f>
        <v>114.54545454545455</v>
      </c>
      <c r="AB138" s="146"/>
    </row>
    <row r="139" spans="2:28">
      <c r="B139" s="145"/>
      <c r="C139" s="296"/>
      <c r="D139" s="296"/>
      <c r="E139" s="276"/>
      <c r="F139" s="296"/>
      <c r="G139" s="296"/>
      <c r="H139" s="276"/>
      <c r="I139" s="296"/>
      <c r="J139" s="296"/>
      <c r="K139" s="276"/>
      <c r="L139" s="296">
        <v>31.5</v>
      </c>
      <c r="M139" s="296">
        <f>IF(L139&lt;='B.1 '!$G$30,'B.1 '!$H$30,IF(AND(L139&lt;='B.1 '!$G$29,L139&gt;'B.1 '!$G$30),0+(('B.1 '!$H$30-'B.1 '!$H$29)/('B.1 '!$G$30-'B.1 '!$G$29))*(L139-'B.1 '!$G$29),0))</f>
        <v>47.25</v>
      </c>
      <c r="N139" s="276"/>
      <c r="O139" s="295"/>
      <c r="P139" s="420"/>
      <c r="Q139" s="297">
        <v>63</v>
      </c>
      <c r="R139" s="297">
        <f>IF(Q139&lt;='B.1 '!$L$24,'B.1 '!$M$24,IF(AND(Q139&lt;='B.1 '!$L$23,Q139&gt;'B.1 '!$L$24),0+(('B.1 '!$M$24-'B.1 '!$M$23)/('B.1 '!$L$24-'B.1 '!$L$23))*(Q139-'B.1 '!$L$23),0))</f>
        <v>0</v>
      </c>
      <c r="S139" s="420"/>
      <c r="T139" s="297"/>
      <c r="U139" s="297"/>
      <c r="V139" s="422"/>
      <c r="W139" s="297"/>
      <c r="X139" s="297"/>
      <c r="Y139" s="422"/>
      <c r="Z139" s="297">
        <v>31.5</v>
      </c>
      <c r="AA139" s="297">
        <f>IF(Z139&lt;='B.1 '!$L$30,'B.1 '!$M$30,IF(AND(Z139&lt;='B.1 '!$L$29,Z139&gt;'B.1 '!$L$30),0+(('B.1 '!$M$30-'B.1 '!$M$29)/('B.1 '!$L$30-'B.1 '!$L$29))*(Z139-'B.1 '!$L$29),0))</f>
        <v>110.45454545454545</v>
      </c>
      <c r="AB139" s="146"/>
    </row>
    <row r="140" spans="2:28">
      <c r="B140" s="145"/>
      <c r="C140" s="296"/>
      <c r="D140" s="296"/>
      <c r="E140" s="276"/>
      <c r="F140" s="296"/>
      <c r="G140" s="296"/>
      <c r="H140" s="276"/>
      <c r="I140" s="296"/>
      <c r="J140" s="296"/>
      <c r="K140" s="276"/>
      <c r="L140" s="296">
        <v>32</v>
      </c>
      <c r="M140" s="296">
        <f>IF(L140&lt;='B.1 '!$G$30,'B.1 '!$H$30,IF(AND(L140&lt;='B.1 '!$G$29,L140&gt;'B.1 '!$G$30),0+(('B.1 '!$H$30-'B.1 '!$H$29)/('B.1 '!$G$30-'B.1 '!$G$29))*(L140-'B.1 '!$G$29),0))</f>
        <v>40.5</v>
      </c>
      <c r="N140" s="276"/>
      <c r="O140" s="295"/>
      <c r="P140" s="420"/>
      <c r="Q140" s="297">
        <v>64</v>
      </c>
      <c r="R140" s="297">
        <f>IF(Q140&lt;='B.1 '!$L$24,'B.1 '!$M$24,IF(AND(Q140&lt;='B.1 '!$L$23,Q140&gt;'B.1 '!$L$24),0+(('B.1 '!$M$24-'B.1 '!$M$23)/('B.1 '!$L$24-'B.1 '!$L$23))*(Q140-'B.1 '!$L$23),0))</f>
        <v>0</v>
      </c>
      <c r="S140" s="420"/>
      <c r="T140" s="297"/>
      <c r="U140" s="297"/>
      <c r="V140" s="422"/>
      <c r="W140" s="297"/>
      <c r="X140" s="297"/>
      <c r="Y140" s="422"/>
      <c r="Z140" s="297">
        <v>32</v>
      </c>
      <c r="AA140" s="297">
        <f>IF(Z140&lt;='B.1 '!$L$30,'B.1 '!$M$30,IF(AND(Z140&lt;='B.1 '!$L$29,Z140&gt;'B.1 '!$L$30),0+(('B.1 '!$M$30-'B.1 '!$M$29)/('B.1 '!$L$30-'B.1 '!$L$29))*(Z140-'B.1 '!$L$29),0))</f>
        <v>106.36363636363636</v>
      </c>
      <c r="AB140" s="146"/>
    </row>
    <row r="141" spans="2:28">
      <c r="B141" s="145"/>
      <c r="C141" s="296"/>
      <c r="D141" s="296"/>
      <c r="E141" s="276"/>
      <c r="F141" s="296"/>
      <c r="G141" s="296"/>
      <c r="H141" s="276"/>
      <c r="I141" s="296"/>
      <c r="J141" s="296"/>
      <c r="K141" s="276"/>
      <c r="L141" s="296">
        <v>32.5</v>
      </c>
      <c r="M141" s="296">
        <f>IF(L141&lt;='B.1 '!$G$30,'B.1 '!$H$30,IF(AND(L141&lt;='B.1 '!$G$29,L141&gt;'B.1 '!$G$30),0+(('B.1 '!$H$30-'B.1 '!$H$29)/('B.1 '!$G$30-'B.1 '!$G$29))*(L141-'B.1 '!$G$29),0))</f>
        <v>33.75</v>
      </c>
      <c r="N141" s="276"/>
      <c r="O141" s="295"/>
      <c r="P141" s="420"/>
      <c r="Q141" s="297">
        <v>65</v>
      </c>
      <c r="R141" s="297">
        <f>IF(Q141&lt;='B.1 '!$L$24,'B.1 '!$M$24,IF(AND(Q141&lt;='B.1 '!$L$23,Q141&gt;'B.1 '!$L$24),0+(('B.1 '!$M$24-'B.1 '!$M$23)/('B.1 '!$L$24-'B.1 '!$L$23))*(Q141-'B.1 '!$L$23),0))</f>
        <v>0</v>
      </c>
      <c r="S141" s="420"/>
      <c r="T141" s="297"/>
      <c r="U141" s="297"/>
      <c r="V141" s="422"/>
      <c r="W141" s="297"/>
      <c r="X141" s="297"/>
      <c r="Y141" s="422"/>
      <c r="Z141" s="297">
        <v>32.5</v>
      </c>
      <c r="AA141" s="297">
        <f>IF(Z141&lt;='B.1 '!$L$30,'B.1 '!$M$30,IF(AND(Z141&lt;='B.1 '!$L$29,Z141&gt;'B.1 '!$L$30),0+(('B.1 '!$M$30-'B.1 '!$M$29)/('B.1 '!$L$30-'B.1 '!$L$29))*(Z141-'B.1 '!$L$29),0))</f>
        <v>102.27272727272727</v>
      </c>
      <c r="AB141" s="146"/>
    </row>
    <row r="142" spans="2:28">
      <c r="B142" s="145"/>
      <c r="C142" s="296"/>
      <c r="D142" s="296"/>
      <c r="E142" s="276"/>
      <c r="F142" s="296"/>
      <c r="G142" s="296"/>
      <c r="H142" s="276"/>
      <c r="I142" s="296"/>
      <c r="J142" s="296"/>
      <c r="K142" s="276"/>
      <c r="L142" s="296">
        <v>33</v>
      </c>
      <c r="M142" s="296">
        <f>IF(L142&lt;='B.1 '!$G$30,'B.1 '!$H$30,IF(AND(L142&lt;='B.1 '!$G$29,L142&gt;'B.1 '!$G$30),0+(('B.1 '!$H$30-'B.1 '!$H$29)/('B.1 '!$G$30-'B.1 '!$G$29))*(L142-'B.1 '!$G$29),0))</f>
        <v>27</v>
      </c>
      <c r="N142" s="276"/>
      <c r="O142" s="295"/>
      <c r="P142" s="420"/>
      <c r="Q142" s="297"/>
      <c r="R142" s="297"/>
      <c r="S142" s="420"/>
      <c r="T142" s="297"/>
      <c r="U142" s="297"/>
      <c r="V142" s="422"/>
      <c r="W142" s="297"/>
      <c r="X142" s="297"/>
      <c r="Y142" s="422"/>
      <c r="Z142" s="297">
        <v>33</v>
      </c>
      <c r="AA142" s="297">
        <f>IF(Z142&lt;='B.1 '!$L$30,'B.1 '!$M$30,IF(AND(Z142&lt;='B.1 '!$L$29,Z142&gt;'B.1 '!$L$30),0+(('B.1 '!$M$30-'B.1 '!$M$29)/('B.1 '!$L$30-'B.1 '!$L$29))*(Z142-'B.1 '!$L$29),0))</f>
        <v>98.181818181818187</v>
      </c>
      <c r="AB142" s="146"/>
    </row>
    <row r="143" spans="2:28">
      <c r="B143" s="145"/>
      <c r="C143" s="296"/>
      <c r="D143" s="296"/>
      <c r="E143" s="276"/>
      <c r="F143" s="296"/>
      <c r="G143" s="296"/>
      <c r="H143" s="276"/>
      <c r="I143" s="296"/>
      <c r="J143" s="296"/>
      <c r="K143" s="276"/>
      <c r="L143" s="296">
        <v>33.5</v>
      </c>
      <c r="M143" s="296">
        <f>IF(L143&lt;='B.1 '!$G$30,'B.1 '!$H$30,IF(AND(L143&lt;='B.1 '!$G$29,L143&gt;'B.1 '!$G$30),0+(('B.1 '!$H$30-'B.1 '!$H$29)/('B.1 '!$G$30-'B.1 '!$G$29))*(L143-'B.1 '!$G$29),0))</f>
        <v>20.25</v>
      </c>
      <c r="N143" s="276"/>
      <c r="O143" s="295"/>
      <c r="P143" s="420"/>
      <c r="Q143" s="297"/>
      <c r="R143" s="297"/>
      <c r="S143" s="420"/>
      <c r="T143" s="297"/>
      <c r="U143" s="297"/>
      <c r="V143" s="422"/>
      <c r="W143" s="297"/>
      <c r="X143" s="297"/>
      <c r="Y143" s="422"/>
      <c r="Z143" s="297">
        <v>33.5</v>
      </c>
      <c r="AA143" s="297">
        <f>IF(Z143&lt;='B.1 '!$L$30,'B.1 '!$M$30,IF(AND(Z143&lt;='B.1 '!$L$29,Z143&gt;'B.1 '!$L$30),0+(('B.1 '!$M$30-'B.1 '!$M$29)/('B.1 '!$L$30-'B.1 '!$L$29))*(Z143-'B.1 '!$L$29),0))</f>
        <v>94.090909090909093</v>
      </c>
      <c r="AB143" s="146"/>
    </row>
    <row r="144" spans="2:28">
      <c r="B144" s="145"/>
      <c r="C144" s="296"/>
      <c r="D144" s="296"/>
      <c r="E144" s="276"/>
      <c r="F144" s="296"/>
      <c r="G144" s="296"/>
      <c r="H144" s="276"/>
      <c r="I144" s="296"/>
      <c r="J144" s="296"/>
      <c r="K144" s="276"/>
      <c r="L144" s="296">
        <v>34</v>
      </c>
      <c r="M144" s="296">
        <f>IF(L144&lt;='B.1 '!$G$30,'B.1 '!$H$30,IF(AND(L144&lt;='B.1 '!$G$29,L144&gt;'B.1 '!$G$30),0+(('B.1 '!$H$30-'B.1 '!$H$29)/('B.1 '!$G$30-'B.1 '!$G$29))*(L144-'B.1 '!$G$29),0))</f>
        <v>13.5</v>
      </c>
      <c r="N144" s="276"/>
      <c r="O144" s="295"/>
      <c r="P144" s="420"/>
      <c r="Q144" s="297"/>
      <c r="R144" s="297"/>
      <c r="S144" s="420"/>
      <c r="T144" s="297"/>
      <c r="U144" s="297"/>
      <c r="V144" s="422"/>
      <c r="W144" s="297"/>
      <c r="X144" s="297"/>
      <c r="Y144" s="422"/>
      <c r="Z144" s="297">
        <v>34</v>
      </c>
      <c r="AA144" s="297">
        <f>IF(Z144&lt;='B.1 '!$L$30,'B.1 '!$M$30,IF(AND(Z144&lt;='B.1 '!$L$29,Z144&gt;'B.1 '!$L$30),0+(('B.1 '!$M$30-'B.1 '!$M$29)/('B.1 '!$L$30-'B.1 '!$L$29))*(Z144-'B.1 '!$L$29),0))</f>
        <v>90</v>
      </c>
      <c r="AB144" s="146"/>
    </row>
    <row r="145" spans="2:28">
      <c r="B145" s="145"/>
      <c r="C145" s="296"/>
      <c r="D145" s="296"/>
      <c r="E145" s="276"/>
      <c r="F145" s="296"/>
      <c r="G145" s="296"/>
      <c r="H145" s="276"/>
      <c r="I145" s="296"/>
      <c r="J145" s="296"/>
      <c r="K145" s="276"/>
      <c r="L145" s="296">
        <v>34.5</v>
      </c>
      <c r="M145" s="296">
        <f>IF(L145&lt;='B.1 '!$G$30,'B.1 '!$H$30,IF(AND(L145&lt;='B.1 '!$G$29,L145&gt;'B.1 '!$G$30),0+(('B.1 '!$H$30-'B.1 '!$H$29)/('B.1 '!$G$30-'B.1 '!$G$29))*(L145-'B.1 '!$G$29),0))</f>
        <v>6.75</v>
      </c>
      <c r="N145" s="276"/>
      <c r="O145" s="295"/>
      <c r="P145" s="420"/>
      <c r="Q145" s="297"/>
      <c r="R145" s="297"/>
      <c r="S145" s="420"/>
      <c r="T145" s="297"/>
      <c r="U145" s="297"/>
      <c r="V145" s="422"/>
      <c r="W145" s="297"/>
      <c r="X145" s="297"/>
      <c r="Y145" s="422"/>
      <c r="Z145" s="297">
        <v>34.5</v>
      </c>
      <c r="AA145" s="297">
        <f>IF(Z145&lt;='B.1 '!$L$30,'B.1 '!$M$30,IF(AND(Z145&lt;='B.1 '!$L$29,Z145&gt;'B.1 '!$L$30),0+(('B.1 '!$M$30-'B.1 '!$M$29)/('B.1 '!$L$30-'B.1 '!$L$29))*(Z145-'B.1 '!$L$29),0))</f>
        <v>85.909090909090907</v>
      </c>
      <c r="AB145" s="146"/>
    </row>
    <row r="146" spans="2:28">
      <c r="B146" s="145"/>
      <c r="C146" s="296"/>
      <c r="D146" s="296"/>
      <c r="E146" s="276"/>
      <c r="F146" s="296"/>
      <c r="G146" s="296"/>
      <c r="H146" s="276"/>
      <c r="I146" s="296"/>
      <c r="J146" s="296"/>
      <c r="K146" s="276"/>
      <c r="L146" s="296">
        <v>35</v>
      </c>
      <c r="M146" s="296">
        <f>IF(L146&lt;='B.1 '!$G$30,'B.1 '!$H$30,IF(AND(L146&lt;='B.1 '!$G$29,L146&gt;'B.1 '!$G$30),0+(('B.1 '!$H$30-'B.1 '!$H$29)/('B.1 '!$G$30-'B.1 '!$G$29))*(L146-'B.1 '!$G$29),0))</f>
        <v>0</v>
      </c>
      <c r="N146" s="276"/>
      <c r="O146" s="295"/>
      <c r="P146" s="420"/>
      <c r="Q146" s="297"/>
      <c r="R146" s="297"/>
      <c r="S146" s="420"/>
      <c r="T146" s="297"/>
      <c r="U146" s="297"/>
      <c r="V146" s="422"/>
      <c r="W146" s="297"/>
      <c r="X146" s="297"/>
      <c r="Y146" s="422"/>
      <c r="Z146" s="297">
        <v>35</v>
      </c>
      <c r="AA146" s="297">
        <f>IF(Z146&lt;='B.1 '!$L$30,'B.1 '!$M$30,IF(AND(Z146&lt;='B.1 '!$L$29,Z146&gt;'B.1 '!$L$30),0+(('B.1 '!$M$30-'B.1 '!$M$29)/('B.1 '!$L$30-'B.1 '!$L$29))*(Z146-'B.1 '!$L$29),0))</f>
        <v>81.818181818181813</v>
      </c>
      <c r="AB146" s="146"/>
    </row>
    <row r="147" spans="2:28">
      <c r="B147" s="145"/>
      <c r="C147" s="296"/>
      <c r="D147" s="296"/>
      <c r="E147" s="276"/>
      <c r="F147" s="296"/>
      <c r="G147" s="296"/>
      <c r="H147" s="276"/>
      <c r="I147" s="296"/>
      <c r="J147" s="296"/>
      <c r="K147" s="276"/>
      <c r="L147" s="296">
        <v>35.5</v>
      </c>
      <c r="M147" s="296">
        <f>IF(L147&lt;='B.1 '!$G$30,'B.1 '!$H$30,IF(AND(L147&lt;='B.1 '!$G$29,L147&gt;'B.1 '!$G$30),0+(('B.1 '!$H$30-'B.1 '!$H$29)/('B.1 '!$G$30-'B.1 '!$G$29))*(L147-'B.1 '!$G$29),0))</f>
        <v>0</v>
      </c>
      <c r="N147" s="276"/>
      <c r="O147" s="295"/>
      <c r="P147" s="420"/>
      <c r="Q147" s="297"/>
      <c r="R147" s="297"/>
      <c r="S147" s="420"/>
      <c r="T147" s="297"/>
      <c r="U147" s="297"/>
      <c r="V147" s="420"/>
      <c r="W147" s="297"/>
      <c r="X147" s="297"/>
      <c r="Y147" s="420"/>
      <c r="Z147" s="297">
        <v>35.5</v>
      </c>
      <c r="AA147" s="297">
        <f>IF(Z147&lt;='B.1 '!$L$30,'B.1 '!$M$30,IF(AND(Z147&lt;='B.1 '!$L$29,Z147&gt;'B.1 '!$L$30),0+(('B.1 '!$M$30-'B.1 '!$M$29)/('B.1 '!$L$30-'B.1 '!$L$29))*(Z147-'B.1 '!$L$29),0))</f>
        <v>77.72727272727272</v>
      </c>
      <c r="AB147" s="146"/>
    </row>
    <row r="148" spans="2:28">
      <c r="B148" s="145"/>
      <c r="C148" s="296"/>
      <c r="D148" s="296"/>
      <c r="E148" s="276"/>
      <c r="F148" s="296"/>
      <c r="G148" s="296"/>
      <c r="H148" s="276"/>
      <c r="I148" s="296"/>
      <c r="J148" s="296"/>
      <c r="K148" s="276"/>
      <c r="L148" s="296">
        <v>36</v>
      </c>
      <c r="M148" s="296">
        <f>IF(L148&lt;='B.1 '!$G$30,'B.1 '!$H$30,IF(AND(L148&lt;='B.1 '!$G$29,L148&gt;'B.1 '!$G$30),0+(('B.1 '!$H$30-'B.1 '!$H$29)/('B.1 '!$G$30-'B.1 '!$G$29))*(L148-'B.1 '!$G$29),0))</f>
        <v>0</v>
      </c>
      <c r="N148" s="276"/>
      <c r="O148" s="295"/>
      <c r="P148" s="420"/>
      <c r="Q148" s="297"/>
      <c r="R148" s="297"/>
      <c r="S148" s="420"/>
      <c r="T148" s="297"/>
      <c r="U148" s="297"/>
      <c r="V148" s="420"/>
      <c r="W148" s="297"/>
      <c r="X148" s="297"/>
      <c r="Y148" s="420"/>
      <c r="Z148" s="297">
        <v>36</v>
      </c>
      <c r="AA148" s="297">
        <f>IF(Z148&lt;='B.1 '!$L$30,'B.1 '!$M$30,IF(AND(Z148&lt;='B.1 '!$L$29,Z148&gt;'B.1 '!$L$30),0+(('B.1 '!$M$30-'B.1 '!$M$29)/('B.1 '!$L$30-'B.1 '!$L$29))*(Z148-'B.1 '!$L$29),0))</f>
        <v>73.63636363636364</v>
      </c>
      <c r="AB148" s="146"/>
    </row>
    <row r="149" spans="2:28">
      <c r="B149" s="145"/>
      <c r="C149" s="296"/>
      <c r="D149" s="296"/>
      <c r="E149" s="276"/>
      <c r="F149" s="296"/>
      <c r="G149" s="296"/>
      <c r="H149" s="276"/>
      <c r="I149" s="296"/>
      <c r="J149" s="296"/>
      <c r="K149" s="276"/>
      <c r="L149" s="296">
        <v>36.5</v>
      </c>
      <c r="M149" s="296">
        <f>IF(L149&lt;='B.1 '!$G$30,'B.1 '!$H$30,IF(AND(L149&lt;='B.1 '!$G$29,L149&gt;'B.1 '!$G$30),0+(('B.1 '!$H$30-'B.1 '!$H$29)/('B.1 '!$G$30-'B.1 '!$G$29))*(L149-'B.1 '!$G$29),0))</f>
        <v>0</v>
      </c>
      <c r="N149" s="276"/>
      <c r="O149" s="295"/>
      <c r="P149" s="420"/>
      <c r="Q149" s="297"/>
      <c r="R149" s="297"/>
      <c r="S149" s="420"/>
      <c r="T149" s="297"/>
      <c r="U149" s="297"/>
      <c r="V149" s="420"/>
      <c r="W149" s="297"/>
      <c r="X149" s="297"/>
      <c r="Y149" s="420"/>
      <c r="Z149" s="297">
        <v>36.5</v>
      </c>
      <c r="AA149" s="297">
        <f>IF(Z149&lt;='B.1 '!$L$30,'B.1 '!$M$30,IF(AND(Z149&lt;='B.1 '!$L$29,Z149&gt;'B.1 '!$L$30),0+(('B.1 '!$M$30-'B.1 '!$M$29)/('B.1 '!$L$30-'B.1 '!$L$29))*(Z149-'B.1 '!$L$29),0))</f>
        <v>69.545454545454547</v>
      </c>
      <c r="AB149" s="146"/>
    </row>
    <row r="150" spans="2:28">
      <c r="B150" s="145"/>
      <c r="C150" s="296"/>
      <c r="D150" s="296"/>
      <c r="E150" s="276"/>
      <c r="F150" s="296"/>
      <c r="G150" s="296"/>
      <c r="H150" s="276"/>
      <c r="I150" s="296"/>
      <c r="J150" s="296"/>
      <c r="K150" s="276"/>
      <c r="L150" s="296">
        <v>37</v>
      </c>
      <c r="M150" s="296">
        <f>IF(L150&lt;='B.1 '!$G$30,'B.1 '!$H$30,IF(AND(L150&lt;='B.1 '!$G$29,L150&gt;'B.1 '!$G$30),0+(('B.1 '!$H$30-'B.1 '!$H$29)/('B.1 '!$G$30-'B.1 '!$G$29))*(L150-'B.1 '!$G$29),0))</f>
        <v>0</v>
      </c>
      <c r="N150" s="276"/>
      <c r="O150" s="295"/>
      <c r="P150" s="420"/>
      <c r="Q150" s="297"/>
      <c r="R150" s="297"/>
      <c r="S150" s="420"/>
      <c r="T150" s="297"/>
      <c r="U150" s="297"/>
      <c r="V150" s="420"/>
      <c r="W150" s="297"/>
      <c r="X150" s="297"/>
      <c r="Y150" s="420"/>
      <c r="Z150" s="297">
        <v>37</v>
      </c>
      <c r="AA150" s="297">
        <f>IF(Z150&lt;='B.1 '!$L$30,'B.1 '!$M$30,IF(AND(Z150&lt;='B.1 '!$L$29,Z150&gt;'B.1 '!$L$30),0+(('B.1 '!$M$30-'B.1 '!$M$29)/('B.1 '!$L$30-'B.1 '!$L$29))*(Z150-'B.1 '!$L$29),0))</f>
        <v>65.454545454545453</v>
      </c>
      <c r="AB150" s="146"/>
    </row>
    <row r="151" spans="2:28">
      <c r="B151" s="145"/>
      <c r="C151" s="296"/>
      <c r="D151" s="296"/>
      <c r="E151" s="276"/>
      <c r="F151" s="296"/>
      <c r="G151" s="296"/>
      <c r="H151" s="276"/>
      <c r="I151" s="296"/>
      <c r="J151" s="296"/>
      <c r="K151" s="276"/>
      <c r="L151" s="296">
        <v>37.5</v>
      </c>
      <c r="M151" s="296">
        <f>IF(L151&lt;='B.1 '!$G$30,'B.1 '!$H$30,IF(AND(L151&lt;='B.1 '!$G$29,L151&gt;'B.1 '!$G$30),0+(('B.1 '!$H$30-'B.1 '!$H$29)/('B.1 '!$G$30-'B.1 '!$G$29))*(L151-'B.1 '!$G$29),0))</f>
        <v>0</v>
      </c>
      <c r="N151" s="276"/>
      <c r="O151" s="295"/>
      <c r="P151" s="420"/>
      <c r="Q151" s="297"/>
      <c r="R151" s="297"/>
      <c r="S151" s="420"/>
      <c r="T151" s="297"/>
      <c r="U151" s="297"/>
      <c r="V151" s="420"/>
      <c r="W151" s="297"/>
      <c r="X151" s="297"/>
      <c r="Y151" s="420"/>
      <c r="Z151" s="297">
        <v>37.5</v>
      </c>
      <c r="AA151" s="297">
        <f>IF(Z151&lt;='B.1 '!$L$30,'B.1 '!$M$30,IF(AND(Z151&lt;='B.1 '!$L$29,Z151&gt;'B.1 '!$L$30),0+(('B.1 '!$M$30-'B.1 '!$M$29)/('B.1 '!$L$30-'B.1 '!$L$29))*(Z151-'B.1 '!$L$29),0))</f>
        <v>61.36363636363636</v>
      </c>
      <c r="AB151" s="146"/>
    </row>
    <row r="152" spans="2:28">
      <c r="B152" s="145"/>
      <c r="C152" s="296"/>
      <c r="D152" s="296"/>
      <c r="E152" s="276"/>
      <c r="F152" s="296"/>
      <c r="G152" s="296"/>
      <c r="H152" s="276"/>
      <c r="I152" s="296"/>
      <c r="J152" s="296"/>
      <c r="K152" s="276"/>
      <c r="L152" s="296">
        <v>38</v>
      </c>
      <c r="M152" s="296">
        <f>IF(L152&lt;='B.1 '!$G$30,'B.1 '!$H$30,IF(AND(L152&lt;='B.1 '!$G$29,L152&gt;'B.1 '!$G$30),0+(('B.1 '!$H$30-'B.1 '!$H$29)/('B.1 '!$G$30-'B.1 '!$G$29))*(L152-'B.1 '!$G$29),0))</f>
        <v>0</v>
      </c>
      <c r="N152" s="276"/>
      <c r="O152" s="295"/>
      <c r="P152" s="420"/>
      <c r="Q152" s="297"/>
      <c r="R152" s="297"/>
      <c r="S152" s="420"/>
      <c r="T152" s="297"/>
      <c r="U152" s="297"/>
      <c r="V152" s="420"/>
      <c r="W152" s="297"/>
      <c r="X152" s="297"/>
      <c r="Y152" s="420"/>
      <c r="Z152" s="297">
        <v>38</v>
      </c>
      <c r="AA152" s="297">
        <f>IF(Z152&lt;='B.1 '!$L$30,'B.1 '!$M$30,IF(AND(Z152&lt;='B.1 '!$L$29,Z152&gt;'B.1 '!$L$30),0+(('B.1 '!$M$30-'B.1 '!$M$29)/('B.1 '!$L$30-'B.1 '!$L$29))*(Z152-'B.1 '!$L$29),0))</f>
        <v>57.272727272727273</v>
      </c>
      <c r="AB152" s="146"/>
    </row>
    <row r="153" spans="2:28">
      <c r="B153" s="145"/>
      <c r="C153" s="296"/>
      <c r="D153" s="296"/>
      <c r="E153" s="276"/>
      <c r="F153" s="296"/>
      <c r="G153" s="296"/>
      <c r="H153" s="276"/>
      <c r="I153" s="296"/>
      <c r="J153" s="296"/>
      <c r="K153" s="276"/>
      <c r="L153" s="296">
        <v>38.5</v>
      </c>
      <c r="M153" s="296">
        <f>IF(L153&lt;='B.1 '!$G$30,'B.1 '!$H$30,IF(AND(L153&lt;='B.1 '!$G$29,L153&gt;'B.1 '!$G$30),0+(('B.1 '!$H$30-'B.1 '!$H$29)/('B.1 '!$G$30-'B.1 '!$G$29))*(L153-'B.1 '!$G$29),0))</f>
        <v>0</v>
      </c>
      <c r="N153" s="276"/>
      <c r="O153" s="295"/>
      <c r="P153" s="420"/>
      <c r="Q153" s="297"/>
      <c r="R153" s="297"/>
      <c r="S153" s="420"/>
      <c r="T153" s="297"/>
      <c r="U153" s="297"/>
      <c r="V153" s="420"/>
      <c r="W153" s="297"/>
      <c r="X153" s="297"/>
      <c r="Y153" s="420"/>
      <c r="Z153" s="297">
        <v>38.5</v>
      </c>
      <c r="AA153" s="297">
        <f>IF(Z153&lt;='B.1 '!$L$30,'B.1 '!$M$30,IF(AND(Z153&lt;='B.1 '!$L$29,Z153&gt;'B.1 '!$L$30),0+(('B.1 '!$M$30-'B.1 '!$M$29)/('B.1 '!$L$30-'B.1 '!$L$29))*(Z153-'B.1 '!$L$29),0))</f>
        <v>53.18181818181818</v>
      </c>
      <c r="AB153" s="146"/>
    </row>
    <row r="154" spans="2:28">
      <c r="B154" s="145"/>
      <c r="C154" s="296"/>
      <c r="D154" s="296"/>
      <c r="E154" s="276"/>
      <c r="F154" s="296"/>
      <c r="G154" s="296"/>
      <c r="H154" s="276"/>
      <c r="I154" s="296"/>
      <c r="J154" s="296"/>
      <c r="K154" s="276"/>
      <c r="L154" s="296">
        <v>39</v>
      </c>
      <c r="M154" s="296">
        <f>IF(L154&lt;='B.1 '!$G$30,'B.1 '!$H$30,IF(AND(L154&lt;='B.1 '!$G$29,L154&gt;'B.1 '!$G$30),0+(('B.1 '!$H$30-'B.1 '!$H$29)/('B.1 '!$G$30-'B.1 '!$G$29))*(L154-'B.1 '!$G$29),0))</f>
        <v>0</v>
      </c>
      <c r="N154" s="276"/>
      <c r="O154" s="295"/>
      <c r="P154" s="420"/>
      <c r="Q154" s="297"/>
      <c r="R154" s="297"/>
      <c r="S154" s="420"/>
      <c r="T154" s="297"/>
      <c r="U154" s="297"/>
      <c r="V154" s="420"/>
      <c r="W154" s="297"/>
      <c r="X154" s="297"/>
      <c r="Y154" s="420"/>
      <c r="Z154" s="297">
        <v>39</v>
      </c>
      <c r="AA154" s="297">
        <f>IF(Z154&lt;='B.1 '!$L$30,'B.1 '!$M$30,IF(AND(Z154&lt;='B.1 '!$L$29,Z154&gt;'B.1 '!$L$30),0+(('B.1 '!$M$30-'B.1 '!$M$29)/('B.1 '!$L$30-'B.1 '!$L$29))*(Z154-'B.1 '!$L$29),0))</f>
        <v>49.090909090909093</v>
      </c>
      <c r="AB154" s="146"/>
    </row>
    <row r="155" spans="2:28">
      <c r="B155" s="145"/>
      <c r="C155" s="296"/>
      <c r="D155" s="296"/>
      <c r="E155" s="276"/>
      <c r="F155" s="296"/>
      <c r="G155" s="296"/>
      <c r="H155" s="276"/>
      <c r="I155" s="296"/>
      <c r="J155" s="296"/>
      <c r="K155" s="276"/>
      <c r="L155" s="296">
        <v>39.5</v>
      </c>
      <c r="M155" s="296">
        <f>IF(L155&lt;='B.1 '!$G$30,'B.1 '!$H$30,IF(AND(L155&lt;='B.1 '!$G$29,L155&gt;'B.1 '!$G$30),0+(('B.1 '!$H$30-'B.1 '!$H$29)/('B.1 '!$G$30-'B.1 '!$G$29))*(L155-'B.1 '!$G$29),0))</f>
        <v>0</v>
      </c>
      <c r="N155" s="276"/>
      <c r="O155" s="295"/>
      <c r="P155" s="420"/>
      <c r="Q155" s="297"/>
      <c r="R155" s="297"/>
      <c r="S155" s="420"/>
      <c r="T155" s="297"/>
      <c r="U155" s="297"/>
      <c r="V155" s="420"/>
      <c r="W155" s="297"/>
      <c r="X155" s="297"/>
      <c r="Y155" s="420"/>
      <c r="Z155" s="297">
        <v>39.5</v>
      </c>
      <c r="AA155" s="297">
        <f>IF(Z155&lt;='B.1 '!$L$30,'B.1 '!$M$30,IF(AND(Z155&lt;='B.1 '!$L$29,Z155&gt;'B.1 '!$L$30),0+(('B.1 '!$M$30-'B.1 '!$M$29)/('B.1 '!$L$30-'B.1 '!$L$29))*(Z155-'B.1 '!$L$29),0))</f>
        <v>45</v>
      </c>
      <c r="AB155" s="146"/>
    </row>
    <row r="156" spans="2:28">
      <c r="B156" s="145"/>
      <c r="C156" s="296"/>
      <c r="D156" s="296"/>
      <c r="E156" s="276"/>
      <c r="F156" s="296"/>
      <c r="G156" s="296"/>
      <c r="H156" s="276"/>
      <c r="I156" s="296"/>
      <c r="J156" s="296"/>
      <c r="K156" s="276"/>
      <c r="L156" s="296">
        <v>40</v>
      </c>
      <c r="M156" s="296">
        <f>IF(L156&lt;='B.1 '!$G$30,'B.1 '!$H$30,IF(AND(L156&lt;='B.1 '!$G$29,L156&gt;'B.1 '!$G$30),0+(('B.1 '!$H$30-'B.1 '!$H$29)/('B.1 '!$G$30-'B.1 '!$G$29))*(L156-'B.1 '!$G$29),0))</f>
        <v>0</v>
      </c>
      <c r="N156" s="276"/>
      <c r="O156" s="295"/>
      <c r="P156" s="420"/>
      <c r="Q156" s="297"/>
      <c r="R156" s="297"/>
      <c r="S156" s="420"/>
      <c r="T156" s="297"/>
      <c r="U156" s="297"/>
      <c r="V156" s="420"/>
      <c r="W156" s="297"/>
      <c r="X156" s="297"/>
      <c r="Y156" s="420"/>
      <c r="Z156" s="297">
        <v>40</v>
      </c>
      <c r="AA156" s="297">
        <f>IF(Z156&lt;='B.1 '!$L$30,'B.1 '!$M$30,IF(AND(Z156&lt;='B.1 '!$L$29,Z156&gt;'B.1 '!$L$30),0+(('B.1 '!$M$30-'B.1 '!$M$29)/('B.1 '!$L$30-'B.1 '!$L$29))*(Z156-'B.1 '!$L$29),0))</f>
        <v>40.909090909090907</v>
      </c>
      <c r="AB156" s="146"/>
    </row>
    <row r="157" spans="2:28">
      <c r="B157" s="145"/>
      <c r="C157" s="296"/>
      <c r="D157" s="296"/>
      <c r="E157" s="276"/>
      <c r="F157" s="296"/>
      <c r="G157" s="296"/>
      <c r="H157" s="276"/>
      <c r="I157" s="296"/>
      <c r="J157" s="296"/>
      <c r="K157" s="276"/>
      <c r="L157" s="296">
        <v>40.5</v>
      </c>
      <c r="M157" s="296">
        <f>IF(L157&lt;='B.1 '!$G$30,'B.1 '!$H$30,IF(AND(L157&lt;='B.1 '!$G$29,L157&gt;'B.1 '!$G$30),0+(('B.1 '!$H$30-'B.1 '!$H$29)/('B.1 '!$G$30-'B.1 '!$G$29))*(L157-'B.1 '!$G$29),0))</f>
        <v>0</v>
      </c>
      <c r="N157" s="276"/>
      <c r="O157" s="295"/>
      <c r="P157" s="420"/>
      <c r="Q157" s="297"/>
      <c r="R157" s="297"/>
      <c r="S157" s="420"/>
      <c r="T157" s="297"/>
      <c r="U157" s="297"/>
      <c r="V157" s="420"/>
      <c r="W157" s="297"/>
      <c r="X157" s="297"/>
      <c r="Y157" s="420"/>
      <c r="Z157" s="297">
        <v>40.5</v>
      </c>
      <c r="AA157" s="297">
        <f>IF(Z157&lt;='B.1 '!$L$30,'B.1 '!$M$30,IF(AND(Z157&lt;='B.1 '!$L$29,Z157&gt;'B.1 '!$L$30),0+(('B.1 '!$M$30-'B.1 '!$M$29)/('B.1 '!$L$30-'B.1 '!$L$29))*(Z157-'B.1 '!$L$29),0))</f>
        <v>36.81818181818182</v>
      </c>
      <c r="AB157" s="146"/>
    </row>
    <row r="158" spans="2:28">
      <c r="B158" s="145"/>
      <c r="C158" s="296"/>
      <c r="D158" s="296"/>
      <c r="E158" s="276"/>
      <c r="F158" s="296"/>
      <c r="G158" s="296"/>
      <c r="H158" s="276"/>
      <c r="I158" s="296"/>
      <c r="J158" s="296"/>
      <c r="K158" s="276"/>
      <c r="L158" s="296">
        <v>41</v>
      </c>
      <c r="M158" s="296">
        <f>IF(L158&lt;='B.1 '!$G$30,'B.1 '!$H$30,IF(AND(L158&lt;='B.1 '!$G$29,L158&gt;'B.1 '!$G$30),0+(('B.1 '!$H$30-'B.1 '!$H$29)/('B.1 '!$G$30-'B.1 '!$G$29))*(L158-'B.1 '!$G$29),0))</f>
        <v>0</v>
      </c>
      <c r="N158" s="276"/>
      <c r="O158" s="295"/>
      <c r="P158" s="420"/>
      <c r="Q158" s="297"/>
      <c r="R158" s="297"/>
      <c r="S158" s="420"/>
      <c r="T158" s="297"/>
      <c r="U158" s="297"/>
      <c r="V158" s="420"/>
      <c r="W158" s="297"/>
      <c r="X158" s="297"/>
      <c r="Y158" s="420"/>
      <c r="Z158" s="297">
        <v>41</v>
      </c>
      <c r="AA158" s="297">
        <f>IF(Z158&lt;='B.1 '!$L$30,'B.1 '!$M$30,IF(AND(Z158&lt;='B.1 '!$L$29,Z158&gt;'B.1 '!$L$30),0+(('B.1 '!$M$30-'B.1 '!$M$29)/('B.1 '!$L$30-'B.1 '!$L$29))*(Z158-'B.1 '!$L$29),0))</f>
        <v>32.727272727272727</v>
      </c>
      <c r="AB158" s="146"/>
    </row>
    <row r="159" spans="2:28">
      <c r="B159" s="145"/>
      <c r="C159" s="296"/>
      <c r="D159" s="296"/>
      <c r="E159" s="276"/>
      <c r="F159" s="296"/>
      <c r="G159" s="296"/>
      <c r="H159" s="276"/>
      <c r="I159" s="296"/>
      <c r="J159" s="296"/>
      <c r="K159" s="276"/>
      <c r="L159" s="296">
        <v>41.5</v>
      </c>
      <c r="M159" s="296">
        <f>IF(L159&lt;='B.1 '!$G$30,'B.1 '!$H$30,IF(AND(L159&lt;='B.1 '!$G$29,L159&gt;'B.1 '!$G$30),0+(('B.1 '!$H$30-'B.1 '!$H$29)/('B.1 '!$G$30-'B.1 '!$G$29))*(L159-'B.1 '!$G$29),0))</f>
        <v>0</v>
      </c>
      <c r="N159" s="276"/>
      <c r="O159" s="295"/>
      <c r="P159" s="420"/>
      <c r="Q159" s="297"/>
      <c r="R159" s="297"/>
      <c r="S159" s="420"/>
      <c r="T159" s="297"/>
      <c r="U159" s="297"/>
      <c r="V159" s="420"/>
      <c r="W159" s="297"/>
      <c r="X159" s="297"/>
      <c r="Y159" s="420"/>
      <c r="Z159" s="297">
        <v>41.5</v>
      </c>
      <c r="AA159" s="297">
        <f>IF(Z159&lt;='B.1 '!$L$30,'B.1 '!$M$30,IF(AND(Z159&lt;='B.1 '!$L$29,Z159&gt;'B.1 '!$L$30),0+(('B.1 '!$M$30-'B.1 '!$M$29)/('B.1 '!$L$30-'B.1 '!$L$29))*(Z159-'B.1 '!$L$29),0))</f>
        <v>28.636363636363637</v>
      </c>
      <c r="AB159" s="146"/>
    </row>
    <row r="160" spans="2:28">
      <c r="B160" s="145"/>
      <c r="C160" s="296"/>
      <c r="D160" s="296"/>
      <c r="E160" s="276"/>
      <c r="F160" s="296"/>
      <c r="G160" s="296"/>
      <c r="H160" s="276"/>
      <c r="I160" s="296"/>
      <c r="J160" s="296"/>
      <c r="K160" s="276"/>
      <c r="L160" s="296">
        <v>42</v>
      </c>
      <c r="M160" s="296">
        <f>IF(L160&lt;='B.1 '!$G$30,'B.1 '!$H$30,IF(AND(L160&lt;='B.1 '!$G$29,L160&gt;'B.1 '!$G$30),0+(('B.1 '!$H$30-'B.1 '!$H$29)/('B.1 '!$G$30-'B.1 '!$G$29))*(L160-'B.1 '!$G$29),0))</f>
        <v>0</v>
      </c>
      <c r="N160" s="276"/>
      <c r="O160" s="295"/>
      <c r="P160" s="420"/>
      <c r="Q160" s="297"/>
      <c r="R160" s="297"/>
      <c r="S160" s="420"/>
      <c r="T160" s="297"/>
      <c r="U160" s="297"/>
      <c r="V160" s="420"/>
      <c r="W160" s="297"/>
      <c r="X160" s="297"/>
      <c r="Y160" s="420"/>
      <c r="Z160" s="297">
        <v>42</v>
      </c>
      <c r="AA160" s="297">
        <f>IF(Z160&lt;='B.1 '!$L$30,'B.1 '!$M$30,IF(AND(Z160&lt;='B.1 '!$L$29,Z160&gt;'B.1 '!$L$30),0+(('B.1 '!$M$30-'B.1 '!$M$29)/('B.1 '!$L$30-'B.1 '!$L$29))*(Z160-'B.1 '!$L$29),0))</f>
        <v>24.545454545454547</v>
      </c>
      <c r="AB160" s="146"/>
    </row>
    <row r="161" spans="2:28">
      <c r="B161" s="145"/>
      <c r="C161" s="296"/>
      <c r="D161" s="296"/>
      <c r="E161" s="276"/>
      <c r="F161" s="296"/>
      <c r="G161" s="296"/>
      <c r="H161" s="276"/>
      <c r="I161" s="296"/>
      <c r="J161" s="296"/>
      <c r="K161" s="276"/>
      <c r="L161" s="296">
        <v>42.5</v>
      </c>
      <c r="M161" s="296">
        <f>IF(L161&lt;='B.1 '!$G$30,'B.1 '!$H$30,IF(AND(L161&lt;='B.1 '!$G$29,L161&gt;'B.1 '!$G$30),0+(('B.1 '!$H$30-'B.1 '!$H$29)/('B.1 '!$G$30-'B.1 '!$G$29))*(L161-'B.1 '!$G$29),0))</f>
        <v>0</v>
      </c>
      <c r="N161" s="276"/>
      <c r="O161" s="295"/>
      <c r="P161" s="420"/>
      <c r="Q161" s="297"/>
      <c r="R161" s="297"/>
      <c r="S161" s="420"/>
      <c r="T161" s="297"/>
      <c r="U161" s="297"/>
      <c r="V161" s="420"/>
      <c r="W161" s="297"/>
      <c r="X161" s="297"/>
      <c r="Y161" s="420"/>
      <c r="Z161" s="297">
        <v>42.5</v>
      </c>
      <c r="AA161" s="297">
        <f>IF(Z161&lt;='B.1 '!$L$30,'B.1 '!$M$30,IF(AND(Z161&lt;='B.1 '!$L$29,Z161&gt;'B.1 '!$L$30),0+(('B.1 '!$M$30-'B.1 '!$M$29)/('B.1 '!$L$30-'B.1 '!$L$29))*(Z161-'B.1 '!$L$29),0))</f>
        <v>20.454545454545453</v>
      </c>
      <c r="AB161" s="146"/>
    </row>
    <row r="162" spans="2:28">
      <c r="B162" s="145"/>
      <c r="C162" s="296"/>
      <c r="D162" s="296"/>
      <c r="E162" s="276"/>
      <c r="F162" s="296"/>
      <c r="G162" s="296"/>
      <c r="H162" s="276"/>
      <c r="I162" s="296"/>
      <c r="J162" s="296"/>
      <c r="K162" s="276"/>
      <c r="L162" s="296">
        <v>43</v>
      </c>
      <c r="M162" s="296">
        <f>IF(L162&lt;='B.1 '!$G$30,'B.1 '!$H$30,IF(AND(L162&lt;='B.1 '!$G$29,L162&gt;'B.1 '!$G$30),0+(('B.1 '!$H$30-'B.1 '!$H$29)/('B.1 '!$G$30-'B.1 '!$G$29))*(L162-'B.1 '!$G$29),0))</f>
        <v>0</v>
      </c>
      <c r="N162" s="276"/>
      <c r="O162" s="295"/>
      <c r="P162" s="420"/>
      <c r="Q162" s="297"/>
      <c r="R162" s="297"/>
      <c r="S162" s="420"/>
      <c r="T162" s="297"/>
      <c r="U162" s="297"/>
      <c r="V162" s="420"/>
      <c r="W162" s="297"/>
      <c r="X162" s="297"/>
      <c r="Y162" s="420"/>
      <c r="Z162" s="297">
        <v>43</v>
      </c>
      <c r="AA162" s="297">
        <f>IF(Z162&lt;='B.1 '!$L$30,'B.1 '!$M$30,IF(AND(Z162&lt;='B.1 '!$L$29,Z162&gt;'B.1 '!$L$30),0+(('B.1 '!$M$30-'B.1 '!$M$29)/('B.1 '!$L$30-'B.1 '!$L$29))*(Z162-'B.1 '!$L$29),0))</f>
        <v>16.363636363636363</v>
      </c>
      <c r="AB162" s="146"/>
    </row>
    <row r="163" spans="2:28">
      <c r="B163" s="145"/>
      <c r="C163" s="296"/>
      <c r="D163" s="296"/>
      <c r="E163" s="276"/>
      <c r="F163" s="296"/>
      <c r="G163" s="296"/>
      <c r="H163" s="276"/>
      <c r="I163" s="296"/>
      <c r="J163" s="296"/>
      <c r="K163" s="276"/>
      <c r="L163" s="296">
        <v>43.5</v>
      </c>
      <c r="M163" s="296">
        <f>IF(L163&lt;='B.1 '!$G$30,'B.1 '!$H$30,IF(AND(L163&lt;='B.1 '!$G$29,L163&gt;'B.1 '!$G$30),0+(('B.1 '!$H$30-'B.1 '!$H$29)/('B.1 '!$G$30-'B.1 '!$G$29))*(L163-'B.1 '!$G$29),0))</f>
        <v>0</v>
      </c>
      <c r="N163" s="276"/>
      <c r="O163" s="295"/>
      <c r="P163" s="420"/>
      <c r="Q163" s="297"/>
      <c r="R163" s="297"/>
      <c r="S163" s="420"/>
      <c r="T163" s="297"/>
      <c r="U163" s="297"/>
      <c r="V163" s="420"/>
      <c r="W163" s="297"/>
      <c r="X163" s="297"/>
      <c r="Y163" s="420"/>
      <c r="Z163" s="297">
        <v>43.5</v>
      </c>
      <c r="AA163" s="297">
        <f>IF(Z163&lt;='B.1 '!$L$30,'B.1 '!$M$30,IF(AND(Z163&lt;='B.1 '!$L$29,Z163&gt;'B.1 '!$L$30),0+(('B.1 '!$M$30-'B.1 '!$M$29)/('B.1 '!$L$30-'B.1 '!$L$29))*(Z163-'B.1 '!$L$29),0))</f>
        <v>12.272727272727273</v>
      </c>
      <c r="AB163" s="146"/>
    </row>
    <row r="164" spans="2:28">
      <c r="B164" s="145"/>
      <c r="C164" s="296"/>
      <c r="D164" s="296"/>
      <c r="E164" s="276"/>
      <c r="F164" s="296"/>
      <c r="G164" s="296"/>
      <c r="H164" s="276"/>
      <c r="I164" s="296"/>
      <c r="J164" s="296"/>
      <c r="K164" s="276"/>
      <c r="L164" s="296">
        <v>44</v>
      </c>
      <c r="M164" s="296">
        <f>IF(L164&lt;='B.1 '!$G$30,'B.1 '!$H$30,IF(AND(L164&lt;='B.1 '!$G$29,L164&gt;'B.1 '!$G$30),0+(('B.1 '!$H$30-'B.1 '!$H$29)/('B.1 '!$G$30-'B.1 '!$G$29))*(L164-'B.1 '!$G$29),0))</f>
        <v>0</v>
      </c>
      <c r="N164" s="276"/>
      <c r="O164" s="295"/>
      <c r="P164" s="420"/>
      <c r="Q164" s="297"/>
      <c r="R164" s="297"/>
      <c r="S164" s="420"/>
      <c r="T164" s="297"/>
      <c r="U164" s="297"/>
      <c r="V164" s="420"/>
      <c r="W164" s="297"/>
      <c r="X164" s="297"/>
      <c r="Y164" s="420"/>
      <c r="Z164" s="297">
        <v>44</v>
      </c>
      <c r="AA164" s="297">
        <f>IF(Z164&lt;='B.1 '!$L$30,'B.1 '!$M$30,IF(AND(Z164&lt;='B.1 '!$L$29,Z164&gt;'B.1 '!$L$30),0+(('B.1 '!$M$30-'B.1 '!$M$29)/('B.1 '!$L$30-'B.1 '!$L$29))*(Z164-'B.1 '!$L$29),0))</f>
        <v>8.1818181818181817</v>
      </c>
      <c r="AB164" s="146"/>
    </row>
    <row r="165" spans="2:28">
      <c r="B165" s="145"/>
      <c r="C165" s="296"/>
      <c r="D165" s="296"/>
      <c r="E165" s="276"/>
      <c r="F165" s="296"/>
      <c r="G165" s="296"/>
      <c r="H165" s="276"/>
      <c r="I165" s="296"/>
      <c r="J165" s="296"/>
      <c r="K165" s="276"/>
      <c r="L165" s="296">
        <v>44.5</v>
      </c>
      <c r="M165" s="296">
        <f>IF(L165&lt;='B.1 '!$G$30,'B.1 '!$H$30,IF(AND(L165&lt;='B.1 '!$G$29,L165&gt;'B.1 '!$G$30),0+(('B.1 '!$H$30-'B.1 '!$H$29)/('B.1 '!$G$30-'B.1 '!$G$29))*(L165-'B.1 '!$G$29),0))</f>
        <v>0</v>
      </c>
      <c r="N165" s="276"/>
      <c r="O165" s="295"/>
      <c r="P165" s="420"/>
      <c r="Q165" s="297"/>
      <c r="R165" s="297"/>
      <c r="S165" s="420"/>
      <c r="T165" s="297"/>
      <c r="U165" s="297"/>
      <c r="V165" s="420"/>
      <c r="W165" s="297"/>
      <c r="X165" s="297"/>
      <c r="Y165" s="420"/>
      <c r="Z165" s="297">
        <v>44.5</v>
      </c>
      <c r="AA165" s="297">
        <f>IF(Z165&lt;='B.1 '!$L$30,'B.1 '!$M$30,IF(AND(Z165&lt;='B.1 '!$L$29,Z165&gt;'B.1 '!$L$30),0+(('B.1 '!$M$30-'B.1 '!$M$29)/('B.1 '!$L$30-'B.1 '!$L$29))*(Z165-'B.1 '!$L$29),0))</f>
        <v>4.0909090909090908</v>
      </c>
      <c r="AB165" s="146"/>
    </row>
    <row r="166" spans="2:28">
      <c r="B166" s="145"/>
      <c r="C166" s="296"/>
      <c r="D166" s="296"/>
      <c r="E166" s="276"/>
      <c r="F166" s="296"/>
      <c r="G166" s="296"/>
      <c r="H166" s="276"/>
      <c r="I166" s="296"/>
      <c r="J166" s="296"/>
      <c r="K166" s="276"/>
      <c r="L166" s="296">
        <v>45</v>
      </c>
      <c r="M166" s="296">
        <f>IF(L166&lt;='B.1 '!$G$30,'B.1 '!$H$30,IF(AND(L166&lt;='B.1 '!$G$29,L166&gt;'B.1 '!$G$30),0+(('B.1 '!$H$30-'B.1 '!$H$29)/('B.1 '!$G$30-'B.1 '!$G$29))*(L166-'B.1 '!$G$29),0))</f>
        <v>0</v>
      </c>
      <c r="N166" s="276"/>
      <c r="O166" s="295"/>
      <c r="P166" s="420"/>
      <c r="Q166" s="297"/>
      <c r="R166" s="297"/>
      <c r="S166" s="420"/>
      <c r="T166" s="297"/>
      <c r="U166" s="297"/>
      <c r="V166" s="420"/>
      <c r="W166" s="297"/>
      <c r="X166" s="297"/>
      <c r="Y166" s="420"/>
      <c r="Z166" s="297">
        <v>45</v>
      </c>
      <c r="AA166" s="297">
        <f>IF(Z166&lt;='B.1 '!$L$30,'B.1 '!$M$30,IF(AND(Z166&lt;='B.1 '!$L$29,Z166&gt;'B.1 '!$L$30),0+(('B.1 '!$M$30-'B.1 '!$M$29)/('B.1 '!$L$30-'B.1 '!$L$29))*(Z166-'B.1 '!$L$29),0))</f>
        <v>0</v>
      </c>
      <c r="AB166" s="146"/>
    </row>
    <row r="167" spans="2:28">
      <c r="B167" s="145"/>
      <c r="C167" s="296"/>
      <c r="D167" s="296"/>
      <c r="E167" s="276"/>
      <c r="F167" s="296"/>
      <c r="G167" s="296"/>
      <c r="H167" s="276"/>
      <c r="I167" s="296"/>
      <c r="J167" s="296"/>
      <c r="K167" s="276"/>
      <c r="L167" s="296">
        <v>45.5</v>
      </c>
      <c r="M167" s="296">
        <f>IF(L167&lt;='B.1 '!$G$30,'B.1 '!$H$30,IF(AND(L167&lt;='B.1 '!$G$29,L167&gt;'B.1 '!$G$30),0+(('B.1 '!$H$30-'B.1 '!$H$29)/('B.1 '!$G$30-'B.1 '!$G$29))*(L167-'B.1 '!$G$29),0))</f>
        <v>0</v>
      </c>
      <c r="N167" s="276"/>
      <c r="O167" s="295"/>
      <c r="P167" s="420"/>
      <c r="Q167" s="297"/>
      <c r="R167" s="297"/>
      <c r="S167" s="420"/>
      <c r="T167" s="297"/>
      <c r="U167" s="297"/>
      <c r="V167" s="420"/>
      <c r="W167" s="297"/>
      <c r="X167" s="297"/>
      <c r="Y167" s="420"/>
      <c r="Z167" s="297">
        <v>45.5</v>
      </c>
      <c r="AA167" s="297">
        <f>IF(Z167&lt;='B.1 '!$L$30,'B.1 '!$M$30,IF(AND(Z167&lt;='B.1 '!$L$29,Z167&gt;'B.1 '!$L$30),0+(('B.1 '!$M$30-'B.1 '!$M$29)/('B.1 '!$L$30-'B.1 '!$L$29))*(Z167-'B.1 '!$L$29),0))</f>
        <v>0</v>
      </c>
      <c r="AB167" s="146"/>
    </row>
    <row r="168" spans="2:28">
      <c r="B168" s="145"/>
      <c r="C168" s="296"/>
      <c r="D168" s="296"/>
      <c r="E168" s="276"/>
      <c r="F168" s="296"/>
      <c r="G168" s="296"/>
      <c r="H168" s="276"/>
      <c r="I168" s="296"/>
      <c r="J168" s="296"/>
      <c r="K168" s="276"/>
      <c r="L168" s="296">
        <v>46</v>
      </c>
      <c r="M168" s="296">
        <f>IF(L168&lt;='B.1 '!$G$30,'B.1 '!$H$30,IF(AND(L168&lt;='B.1 '!$G$29,L168&gt;'B.1 '!$G$30),0+(('B.1 '!$H$30-'B.1 '!$H$29)/('B.1 '!$G$30-'B.1 '!$G$29))*(L168-'B.1 '!$G$29),0))</f>
        <v>0</v>
      </c>
      <c r="N168" s="276"/>
      <c r="O168" s="295"/>
      <c r="P168" s="420"/>
      <c r="Q168" s="297"/>
      <c r="R168" s="297"/>
      <c r="S168" s="420"/>
      <c r="T168" s="297"/>
      <c r="U168" s="297"/>
      <c r="V168" s="420"/>
      <c r="W168" s="297"/>
      <c r="X168" s="297"/>
      <c r="Y168" s="420"/>
      <c r="Z168" s="297">
        <v>46</v>
      </c>
      <c r="AA168" s="297">
        <f>IF(Z168&lt;='B.1 '!$L$30,'B.1 '!$M$30,IF(AND(Z168&lt;='B.1 '!$L$29,Z168&gt;'B.1 '!$L$30),0+(('B.1 '!$M$30-'B.1 '!$M$29)/('B.1 '!$L$30-'B.1 '!$L$29))*(Z168-'B.1 '!$L$29),0))</f>
        <v>0</v>
      </c>
      <c r="AB168" s="146"/>
    </row>
    <row r="169" spans="2:28">
      <c r="B169" s="145"/>
      <c r="C169" s="296"/>
      <c r="D169" s="296"/>
      <c r="E169" s="276"/>
      <c r="F169" s="296"/>
      <c r="G169" s="296"/>
      <c r="H169" s="276"/>
      <c r="I169" s="296"/>
      <c r="J169" s="296"/>
      <c r="K169" s="276"/>
      <c r="L169" s="296">
        <v>46.5</v>
      </c>
      <c r="M169" s="296">
        <f>IF(L169&lt;='B.1 '!$G$30,'B.1 '!$H$30,IF(AND(L169&lt;='B.1 '!$G$29,L169&gt;'B.1 '!$G$30),0+(('B.1 '!$H$30-'B.1 '!$H$29)/('B.1 '!$G$30-'B.1 '!$G$29))*(L169-'B.1 '!$G$29),0))</f>
        <v>0</v>
      </c>
      <c r="N169" s="276"/>
      <c r="O169" s="295"/>
      <c r="P169" s="420"/>
      <c r="Q169" s="297"/>
      <c r="R169" s="297"/>
      <c r="S169" s="420"/>
      <c r="T169" s="297"/>
      <c r="U169" s="297"/>
      <c r="V169" s="420"/>
      <c r="W169" s="297"/>
      <c r="X169" s="297"/>
      <c r="Y169" s="420"/>
      <c r="Z169" s="297">
        <v>46.5</v>
      </c>
      <c r="AA169" s="297">
        <f>IF(Z169&lt;='B.1 '!$L$30,'B.1 '!$M$30,IF(AND(Z169&lt;='B.1 '!$L$29,Z169&gt;'B.1 '!$L$30),0+(('B.1 '!$M$30-'B.1 '!$M$29)/('B.1 '!$L$30-'B.1 '!$L$29))*(Z169-'B.1 '!$L$29),0))</f>
        <v>0</v>
      </c>
      <c r="AB169" s="146"/>
    </row>
    <row r="170" spans="2:28">
      <c r="B170" s="145"/>
      <c r="C170" s="296"/>
      <c r="D170" s="296"/>
      <c r="E170" s="276"/>
      <c r="F170" s="296"/>
      <c r="G170" s="296"/>
      <c r="H170" s="276"/>
      <c r="I170" s="296"/>
      <c r="J170" s="296"/>
      <c r="K170" s="276"/>
      <c r="L170" s="296">
        <v>47</v>
      </c>
      <c r="M170" s="296">
        <f>IF(L170&lt;='B.1 '!$G$30,'B.1 '!$H$30,IF(AND(L170&lt;='B.1 '!$G$29,L170&gt;'B.1 '!$G$30),0+(('B.1 '!$H$30-'B.1 '!$H$29)/('B.1 '!$G$30-'B.1 '!$G$29))*(L170-'B.1 '!$G$29),0))</f>
        <v>0</v>
      </c>
      <c r="N170" s="276"/>
      <c r="O170" s="295"/>
      <c r="P170" s="420"/>
      <c r="Q170" s="297"/>
      <c r="R170" s="297"/>
      <c r="S170" s="420"/>
      <c r="T170" s="297"/>
      <c r="U170" s="297"/>
      <c r="V170" s="420"/>
      <c r="W170" s="297"/>
      <c r="X170" s="297"/>
      <c r="Y170" s="420"/>
      <c r="Z170" s="297">
        <v>47</v>
      </c>
      <c r="AA170" s="297">
        <f>IF(Z170&lt;='B.1 '!$L$30,'B.1 '!$M$30,IF(AND(Z170&lt;='B.1 '!$L$29,Z170&gt;'B.1 '!$L$30),0+(('B.1 '!$M$30-'B.1 '!$M$29)/('B.1 '!$L$30-'B.1 '!$L$29))*(Z170-'B.1 '!$L$29),0))</f>
        <v>0</v>
      </c>
      <c r="AB170" s="146"/>
    </row>
    <row r="171" spans="2:28">
      <c r="B171" s="145"/>
      <c r="C171" s="296"/>
      <c r="D171" s="296"/>
      <c r="E171" s="276"/>
      <c r="F171" s="296"/>
      <c r="G171" s="296"/>
      <c r="H171" s="276"/>
      <c r="I171" s="296"/>
      <c r="J171" s="296"/>
      <c r="K171" s="276"/>
      <c r="L171" s="296">
        <v>47.5</v>
      </c>
      <c r="M171" s="296">
        <f>IF(L171&lt;='B.1 '!$G$30,'B.1 '!$H$30,IF(AND(L171&lt;='B.1 '!$G$29,L171&gt;'B.1 '!$G$30),0+(('B.1 '!$H$30-'B.1 '!$H$29)/('B.1 '!$G$30-'B.1 '!$G$29))*(L171-'B.1 '!$G$29),0))</f>
        <v>0</v>
      </c>
      <c r="N171" s="276"/>
      <c r="O171" s="295"/>
      <c r="P171" s="420"/>
      <c r="Q171" s="297"/>
      <c r="R171" s="297"/>
      <c r="S171" s="420"/>
      <c r="T171" s="297"/>
      <c r="U171" s="297"/>
      <c r="V171" s="420"/>
      <c r="W171" s="297"/>
      <c r="X171" s="297"/>
      <c r="Y171" s="420"/>
      <c r="Z171" s="297">
        <v>47.5</v>
      </c>
      <c r="AA171" s="297">
        <f>IF(Z171&lt;='B.1 '!$L$30,'B.1 '!$M$30,IF(AND(Z171&lt;='B.1 '!$L$29,Z171&gt;'B.1 '!$L$30),0+(('B.1 '!$M$30-'B.1 '!$M$29)/('B.1 '!$L$30-'B.1 '!$L$29))*(Z171-'B.1 '!$L$29),0))</f>
        <v>0</v>
      </c>
      <c r="AB171" s="146"/>
    </row>
    <row r="172" spans="2:28">
      <c r="B172" s="145"/>
      <c r="C172" s="296"/>
      <c r="D172" s="296"/>
      <c r="E172" s="276"/>
      <c r="F172" s="296"/>
      <c r="G172" s="296"/>
      <c r="H172" s="276"/>
      <c r="I172" s="296"/>
      <c r="J172" s="296"/>
      <c r="K172" s="276"/>
      <c r="L172" s="296">
        <v>48</v>
      </c>
      <c r="M172" s="296">
        <f>IF(L172&lt;='B.1 '!$G$30,'B.1 '!$H$30,IF(AND(L172&lt;='B.1 '!$G$29,L172&gt;'B.1 '!$G$30),0+(('B.1 '!$H$30-'B.1 '!$H$29)/('B.1 '!$G$30-'B.1 '!$G$29))*(L172-'B.1 '!$G$29),0))</f>
        <v>0</v>
      </c>
      <c r="N172" s="276"/>
      <c r="O172" s="295"/>
      <c r="P172" s="420"/>
      <c r="Q172" s="297"/>
      <c r="R172" s="297"/>
      <c r="S172" s="420"/>
      <c r="T172" s="297"/>
      <c r="U172" s="297"/>
      <c r="V172" s="420"/>
      <c r="W172" s="297"/>
      <c r="X172" s="297"/>
      <c r="Y172" s="420"/>
      <c r="Z172" s="297">
        <v>48</v>
      </c>
      <c r="AA172" s="297">
        <f>IF(Z172&lt;='B.1 '!$L$30,'B.1 '!$M$30,IF(AND(Z172&lt;='B.1 '!$L$29,Z172&gt;'B.1 '!$L$30),0+(('B.1 '!$M$30-'B.1 '!$M$29)/('B.1 '!$L$30-'B.1 '!$L$29))*(Z172-'B.1 '!$L$29),0))</f>
        <v>0</v>
      </c>
      <c r="AB172" s="146"/>
    </row>
    <row r="173" spans="2:28">
      <c r="B173" s="145"/>
      <c r="C173" s="296"/>
      <c r="D173" s="296"/>
      <c r="E173" s="276"/>
      <c r="F173" s="296"/>
      <c r="G173" s="296"/>
      <c r="H173" s="276"/>
      <c r="I173" s="296"/>
      <c r="J173" s="296"/>
      <c r="K173" s="276"/>
      <c r="L173" s="296">
        <v>48.5</v>
      </c>
      <c r="M173" s="296">
        <f>IF(L173&lt;='B.1 '!$G$30,'B.1 '!$H$30,IF(AND(L173&lt;='B.1 '!$G$29,L173&gt;'B.1 '!$G$30),0+(('B.1 '!$H$30-'B.1 '!$H$29)/('B.1 '!$G$30-'B.1 '!$G$29))*(L173-'B.1 '!$G$29),0))</f>
        <v>0</v>
      </c>
      <c r="N173" s="276"/>
      <c r="O173" s="295"/>
      <c r="P173" s="420"/>
      <c r="Q173" s="297"/>
      <c r="R173" s="297"/>
      <c r="S173" s="420"/>
      <c r="T173" s="297"/>
      <c r="U173" s="297"/>
      <c r="V173" s="420"/>
      <c r="W173" s="297"/>
      <c r="X173" s="297"/>
      <c r="Y173" s="420"/>
      <c r="Z173" s="297">
        <v>48.5</v>
      </c>
      <c r="AA173" s="297">
        <f>IF(Z173&lt;='B.1 '!$L$30,'B.1 '!$M$30,IF(AND(Z173&lt;='B.1 '!$L$29,Z173&gt;'B.1 '!$L$30),0+(('B.1 '!$M$30-'B.1 '!$M$29)/('B.1 '!$L$30-'B.1 '!$L$29))*(Z173-'B.1 '!$L$29),0))</f>
        <v>0</v>
      </c>
      <c r="AB173" s="146"/>
    </row>
    <row r="174" spans="2:28">
      <c r="B174" s="145"/>
      <c r="C174" s="296"/>
      <c r="D174" s="296"/>
      <c r="E174" s="276"/>
      <c r="F174" s="296"/>
      <c r="G174" s="296"/>
      <c r="H174" s="276"/>
      <c r="I174" s="296"/>
      <c r="J174" s="296"/>
      <c r="K174" s="276"/>
      <c r="L174" s="296">
        <v>49</v>
      </c>
      <c r="M174" s="296">
        <f>IF(L174&lt;='B.1 '!$G$30,'B.1 '!$H$30,IF(AND(L174&lt;='B.1 '!$G$29,L174&gt;'B.1 '!$G$30),0+(('B.1 '!$H$30-'B.1 '!$H$29)/('B.1 '!$G$30-'B.1 '!$G$29))*(L174-'B.1 '!$G$29),0))</f>
        <v>0</v>
      </c>
      <c r="N174" s="276"/>
      <c r="O174" s="295"/>
      <c r="P174" s="420"/>
      <c r="Q174" s="297"/>
      <c r="R174" s="297"/>
      <c r="S174" s="420"/>
      <c r="T174" s="297"/>
      <c r="U174" s="297"/>
      <c r="V174" s="420"/>
      <c r="W174" s="297"/>
      <c r="X174" s="297"/>
      <c r="Y174" s="420"/>
      <c r="Z174" s="297">
        <v>49</v>
      </c>
      <c r="AA174" s="297">
        <f>IF(Z174&lt;='B.1 '!$L$30,'B.1 '!$M$30,IF(AND(Z174&lt;='B.1 '!$L$29,Z174&gt;'B.1 '!$L$30),0+(('B.1 '!$M$30-'B.1 '!$M$29)/('B.1 '!$L$30-'B.1 '!$L$29))*(Z174-'B.1 '!$L$29),0))</f>
        <v>0</v>
      </c>
      <c r="AB174" s="146"/>
    </row>
    <row r="175" spans="2:28">
      <c r="B175" s="145"/>
      <c r="C175" s="296"/>
      <c r="D175" s="296"/>
      <c r="E175" s="276"/>
      <c r="F175" s="296"/>
      <c r="G175" s="296"/>
      <c r="H175" s="276"/>
      <c r="I175" s="296"/>
      <c r="J175" s="296"/>
      <c r="K175" s="276"/>
      <c r="L175" s="296">
        <v>49.5</v>
      </c>
      <c r="M175" s="296">
        <f>IF(L175&lt;='B.1 '!$G$30,'B.1 '!$H$30,IF(AND(L175&lt;='B.1 '!$G$29,L175&gt;'B.1 '!$G$30),0+(('B.1 '!$H$30-'B.1 '!$H$29)/('B.1 '!$G$30-'B.1 '!$G$29))*(L175-'B.1 '!$G$29),0))</f>
        <v>0</v>
      </c>
      <c r="N175" s="276"/>
      <c r="O175" s="295"/>
      <c r="P175" s="420"/>
      <c r="Q175" s="297"/>
      <c r="R175" s="297"/>
      <c r="S175" s="420"/>
      <c r="T175" s="297"/>
      <c r="U175" s="297"/>
      <c r="V175" s="420"/>
      <c r="W175" s="297"/>
      <c r="X175" s="297"/>
      <c r="Y175" s="420"/>
      <c r="Z175" s="297">
        <v>49.5</v>
      </c>
      <c r="AA175" s="297">
        <f>IF(Z175&lt;='B.1 '!$L$30,'B.1 '!$M$30,IF(AND(Z175&lt;='B.1 '!$L$29,Z175&gt;'B.1 '!$L$30),0+(('B.1 '!$M$30-'B.1 '!$M$29)/('B.1 '!$L$30-'B.1 '!$L$29))*(Z175-'B.1 '!$L$29),0))</f>
        <v>0</v>
      </c>
      <c r="AB175" s="146"/>
    </row>
    <row r="176" spans="2:28">
      <c r="B176" s="145"/>
      <c r="C176" s="296"/>
      <c r="D176" s="296"/>
      <c r="E176" s="276"/>
      <c r="F176" s="296"/>
      <c r="G176" s="296"/>
      <c r="H176" s="276"/>
      <c r="I176" s="296"/>
      <c r="J176" s="296"/>
      <c r="K176" s="276"/>
      <c r="L176" s="296">
        <v>50</v>
      </c>
      <c r="M176" s="296">
        <f>IF(L176&lt;='B.1 '!$G$30,'B.1 '!$H$30,IF(AND(L176&lt;='B.1 '!$G$29,L176&gt;'B.1 '!$G$30),0+(('B.1 '!$H$30-'B.1 '!$H$29)/('B.1 '!$G$30-'B.1 '!$G$29))*(L176-'B.1 '!$G$29),0))</f>
        <v>0</v>
      </c>
      <c r="N176" s="276"/>
      <c r="O176" s="295"/>
      <c r="P176" s="420"/>
      <c r="Q176" s="297"/>
      <c r="R176" s="297"/>
      <c r="S176" s="420"/>
      <c r="T176" s="297"/>
      <c r="U176" s="297"/>
      <c r="V176" s="420"/>
      <c r="W176" s="297"/>
      <c r="X176" s="297"/>
      <c r="Y176" s="420"/>
      <c r="Z176" s="297">
        <v>50</v>
      </c>
      <c r="AA176" s="297">
        <f>IF(Z176&lt;='B.1 '!$L$30,'B.1 '!$M$30,IF(AND(Z176&lt;='B.1 '!$L$29,Z176&gt;'B.1 '!$L$30),0+(('B.1 '!$M$30-'B.1 '!$M$29)/('B.1 '!$L$30-'B.1 '!$L$29))*(Z176-'B.1 '!$L$29),0))</f>
        <v>0</v>
      </c>
      <c r="AB176" s="146"/>
    </row>
    <row r="177" spans="2:28">
      <c r="B177" s="145"/>
      <c r="C177" s="276"/>
      <c r="D177" s="276"/>
      <c r="E177" s="276"/>
      <c r="F177" s="276"/>
      <c r="G177" s="276"/>
      <c r="H177" s="276"/>
      <c r="I177" s="276"/>
      <c r="J177" s="276"/>
      <c r="K177" s="276"/>
      <c r="L177" s="276"/>
      <c r="M177" s="276"/>
      <c r="N177" s="276"/>
      <c r="O177" s="295"/>
      <c r="P177" s="420"/>
      <c r="Q177" s="420"/>
      <c r="R177" s="420"/>
      <c r="S177" s="420"/>
      <c r="T177" s="420"/>
      <c r="U177" s="420"/>
      <c r="V177" s="420"/>
      <c r="W177" s="420"/>
      <c r="X177" s="420"/>
      <c r="Y177" s="420"/>
      <c r="Z177" s="420"/>
      <c r="AA177" s="420"/>
      <c r="AB177" s="146"/>
    </row>
    <row r="178" spans="2:28">
      <c r="B178" s="145"/>
      <c r="C178" s="276"/>
      <c r="D178" s="276"/>
      <c r="E178" s="276"/>
      <c r="F178" s="276"/>
      <c r="G178" s="276"/>
      <c r="H178" s="276"/>
      <c r="I178" s="276"/>
      <c r="J178" s="276"/>
      <c r="K178" s="276"/>
      <c r="L178" s="276"/>
      <c r="M178" s="276"/>
      <c r="N178" s="276"/>
      <c r="O178" s="295"/>
      <c r="P178" s="420"/>
      <c r="Q178" s="420"/>
      <c r="R178" s="420"/>
      <c r="S178" s="420"/>
      <c r="T178" s="420"/>
      <c r="U178" s="420"/>
      <c r="V178" s="420"/>
      <c r="W178" s="420"/>
      <c r="X178" s="420"/>
      <c r="Y178" s="420"/>
      <c r="Z178" s="420"/>
      <c r="AA178" s="420"/>
      <c r="AB178" s="146"/>
    </row>
    <row r="179" spans="2:28">
      <c r="B179" s="145"/>
      <c r="C179" s="276"/>
      <c r="D179" s="276"/>
      <c r="E179" s="276"/>
      <c r="F179" s="276"/>
      <c r="G179" s="276"/>
      <c r="H179" s="276"/>
      <c r="I179" s="276"/>
      <c r="J179" s="276"/>
      <c r="K179" s="276"/>
      <c r="L179" s="276"/>
      <c r="M179" s="276"/>
      <c r="N179" s="276"/>
      <c r="O179" s="295"/>
      <c r="P179" s="420"/>
      <c r="Q179" s="420"/>
      <c r="R179" s="420"/>
      <c r="S179" s="420"/>
      <c r="T179" s="420"/>
      <c r="U179" s="420"/>
      <c r="V179" s="420"/>
      <c r="W179" s="420"/>
      <c r="X179" s="420"/>
      <c r="Y179" s="420"/>
      <c r="Z179" s="420"/>
      <c r="AA179" s="420"/>
      <c r="AB179" s="146"/>
    </row>
    <row r="180" spans="2:28">
      <c r="C180" s="295"/>
      <c r="D180" s="295"/>
      <c r="E180" s="295"/>
      <c r="F180" s="295"/>
      <c r="G180" s="295"/>
      <c r="H180" s="295"/>
      <c r="I180" s="295"/>
      <c r="J180" s="295"/>
      <c r="K180" s="295"/>
      <c r="L180" s="295"/>
      <c r="M180" s="295"/>
      <c r="N180" s="295"/>
      <c r="O180" s="295"/>
      <c r="P180" s="295"/>
      <c r="Q180" s="295"/>
      <c r="R180" s="295"/>
      <c r="S180" s="295"/>
      <c r="T180" s="295"/>
      <c r="U180" s="295"/>
      <c r="V180" s="295"/>
      <c r="W180" s="295"/>
      <c r="X180" s="295"/>
      <c r="Y180" s="295"/>
      <c r="Z180" s="295"/>
      <c r="AA180" s="295"/>
    </row>
  </sheetData>
  <mergeCells count="18">
    <mergeCell ref="Q73:R73"/>
    <mergeCell ref="T73:U73"/>
    <mergeCell ref="W73:X73"/>
    <mergeCell ref="Z73:AA73"/>
    <mergeCell ref="B2:N3"/>
    <mergeCell ref="P2:AB3"/>
    <mergeCell ref="T74:U74"/>
    <mergeCell ref="W74:X74"/>
    <mergeCell ref="Z74:AA74"/>
    <mergeCell ref="C73:D73"/>
    <mergeCell ref="F73:G73"/>
    <mergeCell ref="I73:J73"/>
    <mergeCell ref="L73:M73"/>
    <mergeCell ref="C74:D74"/>
    <mergeCell ref="F74:G74"/>
    <mergeCell ref="I74:J74"/>
    <mergeCell ref="L74:M74"/>
    <mergeCell ref="Q74:R74"/>
  </mergeCells>
  <pageMargins left="0.7" right="0.7" top="0.78740157499999996" bottom="0.78740157499999996" header="0.3" footer="0.3"/>
  <pageSetup paperSize="9" scale="2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pageSetUpPr fitToPage="1"/>
  </sheetPr>
  <dimension ref="A1:O43"/>
  <sheetViews>
    <sheetView showGridLines="0" zoomScaleNormal="100" workbookViewId="0">
      <selection activeCell="D15" sqref="D15"/>
    </sheetView>
  </sheetViews>
  <sheetFormatPr baseColWidth="10" defaultColWidth="11.42578125" defaultRowHeight="14.25"/>
  <cols>
    <col min="1" max="1" width="55.85546875" style="1" customWidth="1"/>
    <col min="2" max="2" width="24" style="1" customWidth="1"/>
    <col min="3" max="3" width="13.85546875" style="1" customWidth="1"/>
    <col min="4" max="4" width="30.7109375" style="1" customWidth="1"/>
    <col min="5" max="5" width="35.7109375" style="1" customWidth="1"/>
    <col min="6" max="6" width="51" style="1" hidden="1" customWidth="1"/>
    <col min="7" max="7" width="11.28515625" style="1" hidden="1" customWidth="1"/>
    <col min="8" max="8" width="13.5703125" style="1" hidden="1" customWidth="1"/>
    <col min="9" max="9" width="20.28515625" style="1" hidden="1" customWidth="1"/>
    <col min="10" max="10" width="10.85546875" style="1" hidden="1" customWidth="1"/>
    <col min="11" max="11" width="16.42578125" style="1" hidden="1" customWidth="1"/>
    <col min="12" max="12" width="25.7109375" style="1" hidden="1" customWidth="1"/>
    <col min="13" max="13" width="18" style="1" hidden="1" customWidth="1"/>
    <col min="14" max="14" width="20.28515625" style="1" hidden="1" customWidth="1"/>
    <col min="15" max="15" width="30.7109375" style="1" customWidth="1"/>
    <col min="16" max="16" width="11.42578125" style="1" customWidth="1"/>
    <col min="17" max="16384" width="11.42578125" style="1"/>
  </cols>
  <sheetData>
    <row r="1" spans="1:14" s="87" customFormat="1" ht="24.95" customHeight="1" thickBot="1">
      <c r="A1" s="114" t="s">
        <v>449</v>
      </c>
      <c r="B1" s="114"/>
      <c r="C1" s="114"/>
      <c r="F1" s="954" t="s">
        <v>285</v>
      </c>
      <c r="G1" s="957"/>
      <c r="H1" s="958"/>
      <c r="K1" s="954" t="s">
        <v>286</v>
      </c>
      <c r="L1" s="955"/>
      <c r="M1" s="956"/>
    </row>
    <row r="2" spans="1:14" s="87" customFormat="1" ht="7.5" customHeight="1" thickBot="1">
      <c r="A2" s="221"/>
      <c r="B2" s="240"/>
      <c r="C2" s="80"/>
      <c r="D2" s="220"/>
      <c r="F2" s="87" t="s">
        <v>379</v>
      </c>
    </row>
    <row r="3" spans="1:14" s="87" customFormat="1" ht="24.95" customHeight="1">
      <c r="A3" s="243" t="str">
        <f>IF(ISTEXT(Punktevergabe!E5),CONCATENATE("Eingabefeld OIB RL-6 ", (Punktevergabe!E5),""))</f>
        <v>Eingabefeld OIB RL-6 Neubau</v>
      </c>
      <c r="B3" s="248" t="s">
        <v>3</v>
      </c>
      <c r="C3" s="244"/>
      <c r="D3" s="471" t="s">
        <v>225</v>
      </c>
      <c r="F3" s="948" t="s">
        <v>287</v>
      </c>
      <c r="G3" s="949"/>
      <c r="H3" s="950"/>
      <c r="I3" s="472" t="s">
        <v>225</v>
      </c>
      <c r="K3" s="978" t="s">
        <v>288</v>
      </c>
      <c r="L3" s="979"/>
      <c r="M3" s="980"/>
      <c r="N3" s="472" t="s">
        <v>225</v>
      </c>
    </row>
    <row r="4" spans="1:14" s="89" customFormat="1" ht="24.95" customHeight="1">
      <c r="A4" s="2" t="s">
        <v>190</v>
      </c>
      <c r="B4" s="242"/>
      <c r="C4" s="88" t="s">
        <v>191</v>
      </c>
      <c r="D4" s="462"/>
      <c r="F4" s="212" t="s">
        <v>190</v>
      </c>
      <c r="G4" s="285">
        <f>IF(AND(ISNUMBER(B4)),B4,IF(AND(ISBLANK(B4)),0,B4))</f>
        <v>0</v>
      </c>
      <c r="H4" s="290" t="s">
        <v>191</v>
      </c>
      <c r="I4" s="464"/>
      <c r="K4" s="212" t="s">
        <v>190</v>
      </c>
      <c r="L4" s="285">
        <f>IF(AND(ISNUMBER(B4)),B4,IF(AND(ISBLANK(B4)),0,B4))</f>
        <v>0</v>
      </c>
      <c r="M4" s="287" t="s">
        <v>191</v>
      </c>
      <c r="N4" s="468"/>
    </row>
    <row r="5" spans="1:14" s="89" customFormat="1" ht="24.95" customHeight="1">
      <c r="A5" s="149" t="s">
        <v>296</v>
      </c>
      <c r="B5" s="242"/>
      <c r="C5" s="88" t="s">
        <v>293</v>
      </c>
      <c r="D5" s="462"/>
      <c r="F5" s="212" t="s">
        <v>296</v>
      </c>
      <c r="G5" s="285" t="str">
        <f>IF(AND(ISNUMBER(B5)),B5,"")</f>
        <v/>
      </c>
      <c r="H5" s="290" t="s">
        <v>293</v>
      </c>
      <c r="I5" s="464"/>
      <c r="K5" s="212" t="s">
        <v>296</v>
      </c>
      <c r="L5" s="285" t="str">
        <f t="shared" ref="L5:L14" si="0">IF(AND(ISNUMBER(B5)),B5,"")</f>
        <v/>
      </c>
      <c r="M5" s="287" t="s">
        <v>293</v>
      </c>
      <c r="N5" s="468"/>
    </row>
    <row r="6" spans="1:14" s="89" customFormat="1" ht="24.95" customHeight="1">
      <c r="A6" s="2" t="s">
        <v>263</v>
      </c>
      <c r="B6" s="242"/>
      <c r="C6" s="88" t="s">
        <v>235</v>
      </c>
      <c r="D6" s="462"/>
      <c r="F6" s="212" t="s">
        <v>263</v>
      </c>
      <c r="G6" s="285" t="str">
        <f t="shared" ref="G6:G16" si="1">IF(AND(ISNUMBER(B6)),B6,"")</f>
        <v/>
      </c>
      <c r="H6" s="290" t="s">
        <v>235</v>
      </c>
      <c r="I6" s="464"/>
      <c r="K6" s="212" t="s">
        <v>263</v>
      </c>
      <c r="L6" s="285" t="str">
        <f t="shared" si="0"/>
        <v/>
      </c>
      <c r="M6" s="287" t="s">
        <v>235</v>
      </c>
      <c r="N6" s="468"/>
    </row>
    <row r="7" spans="1:14" s="89" customFormat="1" ht="24.95" customHeight="1">
      <c r="A7" s="212" t="s">
        <v>294</v>
      </c>
      <c r="B7" s="242"/>
      <c r="C7" s="148"/>
      <c r="D7" s="462"/>
      <c r="F7" s="97" t="s">
        <v>294</v>
      </c>
      <c r="G7" s="285" t="str">
        <f t="shared" si="1"/>
        <v/>
      </c>
      <c r="H7" s="290"/>
      <c r="I7" s="464"/>
      <c r="K7" s="212" t="s">
        <v>294</v>
      </c>
      <c r="L7" s="285" t="str">
        <f t="shared" si="0"/>
        <v/>
      </c>
      <c r="M7" s="287"/>
      <c r="N7" s="468"/>
    </row>
    <row r="8" spans="1:14" s="89" customFormat="1" ht="24.95" customHeight="1">
      <c r="A8" s="212" t="s">
        <v>291</v>
      </c>
      <c r="B8" s="242"/>
      <c r="C8" s="88" t="s">
        <v>45</v>
      </c>
      <c r="D8" s="462"/>
      <c r="F8" s="212" t="s">
        <v>291</v>
      </c>
      <c r="G8" s="285" t="str">
        <f t="shared" si="1"/>
        <v/>
      </c>
      <c r="H8" s="290" t="s">
        <v>45</v>
      </c>
      <c r="I8" s="464"/>
      <c r="K8" s="212" t="s">
        <v>291</v>
      </c>
      <c r="L8" s="285" t="str">
        <f t="shared" si="0"/>
        <v/>
      </c>
      <c r="M8" s="287" t="s">
        <v>45</v>
      </c>
      <c r="N8" s="468"/>
    </row>
    <row r="9" spans="1:14" s="89" customFormat="1" ht="24.95" customHeight="1">
      <c r="A9" s="212" t="s">
        <v>299</v>
      </c>
      <c r="B9" s="242"/>
      <c r="C9" s="88" t="s">
        <v>45</v>
      </c>
      <c r="D9" s="462"/>
      <c r="F9" s="212" t="s">
        <v>299</v>
      </c>
      <c r="G9" s="285" t="str">
        <f>IF(AND(ISNUMBER(B9),(B9&gt;0)),B9,"")</f>
        <v/>
      </c>
      <c r="H9" s="290" t="s">
        <v>45</v>
      </c>
      <c r="I9" s="464"/>
      <c r="K9" s="212" t="s">
        <v>299</v>
      </c>
      <c r="L9" s="285" t="str">
        <f>IF(AND(ISNUMBER(B9),(B9&gt;0)),B9,"")</f>
        <v/>
      </c>
      <c r="M9" s="287" t="s">
        <v>45</v>
      </c>
      <c r="N9" s="468"/>
    </row>
    <row r="10" spans="1:14" s="89" customFormat="1" ht="24.95" customHeight="1">
      <c r="A10" s="97" t="s">
        <v>300</v>
      </c>
      <c r="B10" s="242"/>
      <c r="C10" s="148" t="s">
        <v>292</v>
      </c>
      <c r="D10" s="462"/>
      <c r="F10" s="212" t="s">
        <v>300</v>
      </c>
      <c r="G10" s="285" t="str">
        <f t="shared" si="1"/>
        <v/>
      </c>
      <c r="H10" s="290" t="s">
        <v>292</v>
      </c>
      <c r="I10" s="464"/>
      <c r="K10" s="212" t="s">
        <v>300</v>
      </c>
      <c r="L10" s="285" t="str">
        <f t="shared" si="0"/>
        <v/>
      </c>
      <c r="M10" s="287" t="s">
        <v>292</v>
      </c>
      <c r="N10" s="468"/>
    </row>
    <row r="11" spans="1:14" s="89" customFormat="1" ht="24.95" customHeight="1">
      <c r="A11" s="2" t="s">
        <v>262</v>
      </c>
      <c r="B11" s="242"/>
      <c r="C11" s="88" t="s">
        <v>235</v>
      </c>
      <c r="D11" s="463"/>
      <c r="F11" s="212" t="s">
        <v>262</v>
      </c>
      <c r="G11" s="285" t="str">
        <f t="shared" si="1"/>
        <v/>
      </c>
      <c r="H11" s="290" t="s">
        <v>235</v>
      </c>
      <c r="I11" s="465"/>
      <c r="K11" s="212" t="s">
        <v>262</v>
      </c>
      <c r="L11" s="285" t="str">
        <f t="shared" si="0"/>
        <v/>
      </c>
      <c r="M11" s="287" t="s">
        <v>235</v>
      </c>
      <c r="N11" s="469"/>
    </row>
    <row r="12" spans="1:14" s="89" customFormat="1" ht="24.95" customHeight="1">
      <c r="A12" s="96" t="s">
        <v>264</v>
      </c>
      <c r="B12" s="242"/>
      <c r="C12" s="24" t="s">
        <v>235</v>
      </c>
      <c r="D12" s="462"/>
      <c r="F12" s="219" t="s">
        <v>264</v>
      </c>
      <c r="G12" s="285" t="str">
        <f>IF(AND(ISNUMBER(B12)),B12,"")</f>
        <v/>
      </c>
      <c r="H12" s="291" t="s">
        <v>235</v>
      </c>
      <c r="I12" s="466"/>
      <c r="K12" s="212" t="s">
        <v>264</v>
      </c>
      <c r="L12" s="285" t="str">
        <f t="shared" si="0"/>
        <v/>
      </c>
      <c r="M12" s="287" t="s">
        <v>235</v>
      </c>
      <c r="N12" s="468"/>
    </row>
    <row r="13" spans="1:14" s="89" customFormat="1" ht="24.95" customHeight="1">
      <c r="A13" s="96" t="s">
        <v>266</v>
      </c>
      <c r="B13" s="242"/>
      <c r="C13" s="24" t="s">
        <v>235</v>
      </c>
      <c r="D13" s="462"/>
      <c r="F13" s="219" t="s">
        <v>266</v>
      </c>
      <c r="G13" s="285" t="str">
        <f>IF(AND(ISNUMBER(B13)),B13,"")</f>
        <v/>
      </c>
      <c r="H13" s="291" t="s">
        <v>235</v>
      </c>
      <c r="I13" s="464"/>
      <c r="K13" s="212" t="s">
        <v>266</v>
      </c>
      <c r="L13" s="285" t="str">
        <f t="shared" si="0"/>
        <v/>
      </c>
      <c r="M13" s="287" t="s">
        <v>235</v>
      </c>
      <c r="N13" s="468"/>
    </row>
    <row r="14" spans="1:14" s="89" customFormat="1" ht="24.95" customHeight="1">
      <c r="A14" s="96" t="s">
        <v>267</v>
      </c>
      <c r="B14" s="242"/>
      <c r="C14" s="24" t="s">
        <v>235</v>
      </c>
      <c r="D14" s="462"/>
      <c r="F14" s="219" t="s">
        <v>267</v>
      </c>
      <c r="G14" s="285" t="str">
        <f t="shared" si="1"/>
        <v/>
      </c>
      <c r="H14" s="291" t="s">
        <v>235</v>
      </c>
      <c r="I14" s="464"/>
      <c r="K14" s="212" t="s">
        <v>267</v>
      </c>
      <c r="L14" s="285" t="str">
        <f t="shared" si="0"/>
        <v/>
      </c>
      <c r="M14" s="287" t="s">
        <v>235</v>
      </c>
      <c r="N14" s="468"/>
    </row>
    <row r="15" spans="1:14" s="89" customFormat="1" ht="24.95" customHeight="1">
      <c r="A15" s="120" t="s">
        <v>301</v>
      </c>
      <c r="B15" s="242"/>
      <c r="C15" s="124" t="s">
        <v>235</v>
      </c>
      <c r="D15" s="462"/>
      <c r="F15" s="292" t="s">
        <v>301</v>
      </c>
      <c r="G15" s="285">
        <f>IF(AND(ISNUMBER(B15),(B15&gt;=0)),B15,0)</f>
        <v>0</v>
      </c>
      <c r="H15" s="293" t="s">
        <v>235</v>
      </c>
      <c r="I15" s="464"/>
      <c r="K15" s="212" t="s">
        <v>301</v>
      </c>
      <c r="L15" s="285">
        <f>IF(AND(ISNUMBER(B15),(B15&gt;=0)),B15,0)</f>
        <v>0</v>
      </c>
      <c r="M15" s="287" t="s">
        <v>235</v>
      </c>
      <c r="N15" s="468"/>
    </row>
    <row r="16" spans="1:14" s="89" customFormat="1" ht="24.95" customHeight="1">
      <c r="A16" s="2" t="s">
        <v>329</v>
      </c>
      <c r="B16" s="242"/>
      <c r="C16" s="92" t="s">
        <v>306</v>
      </c>
      <c r="D16" s="462"/>
      <c r="F16" s="212" t="s">
        <v>265</v>
      </c>
      <c r="G16" s="285" t="str">
        <f t="shared" si="1"/>
        <v/>
      </c>
      <c r="H16" s="92" t="s">
        <v>236</v>
      </c>
      <c r="I16" s="464"/>
      <c r="K16" s="212" t="s">
        <v>265</v>
      </c>
      <c r="L16" s="285" t="str">
        <f>IF(AND(ISNUMBER(B16)),B16,"")</f>
        <v/>
      </c>
      <c r="M16" s="287" t="s">
        <v>236</v>
      </c>
      <c r="N16" s="468"/>
    </row>
    <row r="17" spans="1:14" s="89" customFormat="1" ht="24.95" customHeight="1" thickBot="1">
      <c r="A17" s="212" t="s">
        <v>261</v>
      </c>
      <c r="B17" s="242"/>
      <c r="C17" s="132" t="s">
        <v>235</v>
      </c>
      <c r="D17" s="462"/>
      <c r="F17" s="211" t="s">
        <v>261</v>
      </c>
      <c r="G17" s="286">
        <f>IF(AND(ISNUMBER(B17),(B17&gt;=0)),B17,0)</f>
        <v>0</v>
      </c>
      <c r="H17" s="294" t="s">
        <v>235</v>
      </c>
      <c r="I17" s="467"/>
      <c r="K17" s="211" t="s">
        <v>261</v>
      </c>
      <c r="L17" s="286">
        <f>IF(AND(ISNUMBER(B17),(B17&gt;=0)),B17,0)</f>
        <v>0</v>
      </c>
      <c r="M17" s="288" t="s">
        <v>235</v>
      </c>
      <c r="N17" s="470"/>
    </row>
    <row r="18" spans="1:14" s="89" customFormat="1" ht="12.75">
      <c r="A18" s="97"/>
      <c r="B18" s="241"/>
      <c r="C18" s="92"/>
      <c r="D18" s="218"/>
    </row>
    <row r="19" spans="1:14" s="89" customFormat="1" ht="12.75">
      <c r="A19" s="97"/>
      <c r="B19" s="241"/>
      <c r="C19" s="93"/>
      <c r="D19" s="98"/>
    </row>
    <row r="20" spans="1:14" s="87" customFormat="1" ht="14.25" customHeight="1" thickBot="1">
      <c r="A20" s="99"/>
      <c r="C20" s="100"/>
    </row>
    <row r="21" spans="1:14" s="87" customFormat="1" ht="24.75" customHeight="1">
      <c r="A21" s="245" t="s">
        <v>195</v>
      </c>
      <c r="B21" s="247" t="s">
        <v>3</v>
      </c>
      <c r="C21" s="246"/>
      <c r="F21" s="962" t="s">
        <v>282</v>
      </c>
      <c r="G21" s="952"/>
      <c r="H21" s="953"/>
      <c r="K21" s="962" t="s">
        <v>284</v>
      </c>
      <c r="L21" s="952"/>
      <c r="M21" s="953"/>
    </row>
    <row r="22" spans="1:14" s="87" customFormat="1" ht="24.75" customHeight="1">
      <c r="A22" s="96" t="s">
        <v>295</v>
      </c>
      <c r="B22" s="236" t="str">
        <f>IF(AND(ISTEXT(Punktevergabe!E5),(Punktevergabe!E5="Neubau")),G22,L22)</f>
        <v/>
      </c>
      <c r="C22" s="24"/>
      <c r="F22" s="96" t="s">
        <v>295</v>
      </c>
      <c r="G22" s="69" t="str">
        <f>IF(AND(ISNUMBER(G5),ISNUMBER(G7),ISNUMBER(G8),ISNUMBER(G9),ISNUMBER(G10)),ROUND(300*G10/((G8+G9)*(2+G5/(G8+G9))),1),G7)</f>
        <v/>
      </c>
      <c r="H22" s="24"/>
      <c r="I22" s="101"/>
      <c r="K22" s="96" t="s">
        <v>295</v>
      </c>
      <c r="L22" s="69" t="str">
        <f>IF(AND(ISNUMBER(L5),ISNUMBER(L7),ISNUMBER(L8),ISNUMBER(L9),ISNUMBER(L10)),ROUND(300*L10/((L8+L9)*(2+L5/(L8+L9))),1),L7)</f>
        <v/>
      </c>
      <c r="M22" s="24"/>
      <c r="N22" s="101"/>
    </row>
    <row r="23" spans="1:14" s="89" customFormat="1" ht="24.95" customHeight="1">
      <c r="A23" s="96" t="s">
        <v>17</v>
      </c>
      <c r="B23" s="236" t="str">
        <f>IF(AND(ISTEXT(Punktevergabe!E5),(Punktevergabe!E5="Neubau")),IF(G23&gt;0,G23,0),IF(L23&gt;0,L23,0))</f>
        <v/>
      </c>
      <c r="C23" s="24" t="s">
        <v>235</v>
      </c>
      <c r="F23" s="96" t="s">
        <v>17</v>
      </c>
      <c r="G23" s="150" t="str">
        <f>IF(AND(ISNUMBER(G12),ISNUMBER(G13),ISNUMBER(G14),ISNUMBER(G15),ISNUMBER(G17)),
IF(G15&lt;&gt;0,
G12-(G13*1.63)-(G14-G15)*(1.63)-(G17*1),
G12-(G13*1.63)-(0-G15)*(1.63)-(G17*1)),G12)</f>
        <v/>
      </c>
      <c r="H23" s="24" t="s">
        <v>235</v>
      </c>
      <c r="I23" s="101"/>
      <c r="K23" s="96" t="s">
        <v>17</v>
      </c>
      <c r="L23" s="150" t="str">
        <f>IF(AND(ISNUMBER(L12),ISNUMBER(L13),ISNUMBER(L14),ISNUMBER(L15),ISNUMBER(L17)),
IF(L15&lt;&gt;0,
L12-(L13*1.63)-(L14-L15)*(1.63)-(L17*1),
L12-(L13*1.63)-(0-L15)*(1.63)-(L17*1)),L12)</f>
        <v/>
      </c>
      <c r="M23" s="24" t="s">
        <v>235</v>
      </c>
      <c r="N23" s="101"/>
    </row>
    <row r="24" spans="1:14" s="89" customFormat="1" ht="24.95" customHeight="1" thickBot="1">
      <c r="A24" s="96" t="s">
        <v>303</v>
      </c>
      <c r="B24" s="236" t="str">
        <f>IF(AND(ISTEXT(Punktevergabe!E5),(Punktevergabe!E5="Neubau")),IF(G24&gt;0,G24,0),IF(L24&gt;0,L24,0))</f>
        <v/>
      </c>
      <c r="C24" s="348" t="s">
        <v>306</v>
      </c>
      <c r="F24" s="96" t="s">
        <v>46</v>
      </c>
      <c r="G24" s="150" t="str">
        <f>IF(AND(ISNUMBER(G13),ISNUMBER(G14),ISNUMBER(G15),ISNUMBER(G16),ISNUMBER(G17)),
IF(G15&lt;&gt;0,
G16-G13*0.227-(G14-G15)*0.227-(G17*0.227),
G16-G13*0.227-(0-G15)*0.227-(G17*0.227)),G16)</f>
        <v/>
      </c>
      <c r="H24" s="88" t="s">
        <v>236</v>
      </c>
      <c r="I24" s="101"/>
      <c r="K24" s="96" t="s">
        <v>46</v>
      </c>
      <c r="L24" s="150" t="str">
        <f>IF(AND(ISNUMBER(L13),ISNUMBER(L14),ISNUMBER(L15),ISNUMBER(L16),ISNUMBER(L17)),
IF(L15&lt;&gt;0,
L16-L13*0.227-(L14-L15)*0.227-(L17*0.227),
L16-L13*0.227-(0-L15)*0.227-(L17*0.227)),L16)</f>
        <v/>
      </c>
      <c r="M24" s="88" t="s">
        <v>236</v>
      </c>
      <c r="N24" s="101"/>
    </row>
    <row r="25" spans="1:14" s="101" customFormat="1" ht="24.95" customHeight="1" thickBot="1">
      <c r="A25" s="216" t="s">
        <v>269</v>
      </c>
      <c r="B25" s="215" t="str">
        <f>IF(AND(ISTEXT(Punktevergabe!E5),(Punktevergabe!E5="Neubau")),G25,L25)</f>
        <v/>
      </c>
      <c r="C25" s="350"/>
      <c r="D25" s="126"/>
      <c r="F25" s="121" t="s">
        <v>269</v>
      </c>
      <c r="G25" s="128" t="str">
        <f>IF(ISNUMBER(G6),IF(G6&lt;=G35,H35,IF(AND(G6&lt;=G34,G6&gt;G35),ROUND(H35+(H34-H35)/(G34-G35)*(G6-G35),H34),"Mindestanforderung nicht erfüllt")),"")</f>
        <v/>
      </c>
      <c r="H25" s="289"/>
      <c r="K25" s="121" t="s">
        <v>269</v>
      </c>
      <c r="L25" s="128" t="str">
        <f>IF(ISNUMBER(L6),IF(L6&lt;=L35,M35,IF(AND(L6&lt;=L34,L6&gt;L35),ROUND(M35+(M34-M35)/(L34-L35)*(L6-L35),M34),"Mindestanforderung nicht erfüllt")),"")</f>
        <v/>
      </c>
      <c r="M25" s="289"/>
    </row>
    <row r="26" spans="1:14" s="101" customFormat="1" ht="24.95" customHeight="1" thickBot="1">
      <c r="A26" s="3" t="s">
        <v>297</v>
      </c>
      <c r="B26" s="217" t="str">
        <f>IF(AND(ISTEXT(Punktevergabe!E5),(Punktevergabe!E5="Neubau")),G26,L26)</f>
        <v/>
      </c>
      <c r="C26" s="351"/>
      <c r="F26" s="122" t="s">
        <v>297</v>
      </c>
      <c r="G26" s="128" t="str">
        <f>IF(ISNUMBER(G22),IF(G22&lt;=G37,H37,IF(AND(G22&lt;=G36,G22&gt;G37),ROUND(H37+(H36-H37)/(G36-G37)*(G22-G37),H36),"Mindestanforderung nicht erfüllt")),"")</f>
        <v/>
      </c>
      <c r="H26" s="119"/>
      <c r="K26" s="122" t="s">
        <v>297</v>
      </c>
      <c r="L26" s="128" t="str">
        <f>IF(ISNUMBER(L22),IF(L22&lt;=L37,M37,IF(AND(L22&lt;=L36,L22&gt;L37),ROUND(M37+(M36-M37)/(L36-L37)*(L22-L37),M36),"Mindestanforderung nicht erfüllt")),"")</f>
        <v/>
      </c>
      <c r="M26" s="119"/>
    </row>
    <row r="27" spans="1:14" s="101" customFormat="1" ht="24.95" customHeight="1" thickBot="1">
      <c r="A27" s="216" t="s">
        <v>268</v>
      </c>
      <c r="B27" s="129" t="str">
        <f>IF(AND(ISTEXT(Punktevergabe!E5),(Punktevergabe!E5="Neubau")),G27,L27)</f>
        <v/>
      </c>
      <c r="C27" s="351"/>
      <c r="F27" s="121" t="s">
        <v>268</v>
      </c>
      <c r="G27" s="128" t="str">
        <f>IF(ISNUMBER(G11),IF(G11&lt;=G39,H39,IF(AND(G11&lt;=G38,G11&gt;G39),ROUND(H39+(H38-H39)/(G38-G39)*(G11-G39),H38),"Mindestanforderung nicht erfüllt")),"")</f>
        <v/>
      </c>
      <c r="H27" s="119"/>
      <c r="K27" s="121" t="s">
        <v>268</v>
      </c>
      <c r="L27" s="128" t="str">
        <f>IF(ISNUMBER(L11),IF(L11&lt;=L39,M39,IF(AND(L11&lt;=L38,L11&gt;L39),ROUND(M39+(M38-M39)/(L38-L39)*(L11-L39),M38),"Mindestanforderung nicht erfüllt")),"")</f>
        <v/>
      </c>
      <c r="M27" s="119"/>
    </row>
    <row r="28" spans="1:14" ht="24.95" customHeight="1" thickBot="1">
      <c r="A28" s="3" t="s">
        <v>270</v>
      </c>
      <c r="B28" s="217" t="str">
        <f>IF(AND(ISTEXT(Punktevergabe!E5),(Punktevergabe!E5="Neubau")),G28,L28)</f>
        <v/>
      </c>
      <c r="C28" s="349"/>
      <c r="D28" s="127"/>
      <c r="F28" s="122" t="s">
        <v>270</v>
      </c>
      <c r="G28" s="128" t="str">
        <f>IF(ISNUMBER(G23),IF(G23&lt;=G41,H41,IF(AND(G23&lt;=G40,G23&gt;G41),ROUND(H41+(H40-H41)/(G40-G41)*(G23-G41),H40),"Mindestanforderung nicht erfüllt")),"")</f>
        <v/>
      </c>
      <c r="H28" s="93"/>
      <c r="K28" s="122" t="s">
        <v>270</v>
      </c>
      <c r="L28" s="128" t="str">
        <f>IF(ISNUMBER(L23),IF(L23&lt;=L41,M41,IF(AND(L23&lt;=L40,L23&gt;L41),ROUND(M41+(M40-M41)/(L40-L41)*(L23-L41),M40),"Mindestanforderung nicht erfüllt")),"")</f>
        <v/>
      </c>
      <c r="M28" s="93"/>
    </row>
    <row r="29" spans="1:14" ht="24.95" customHeight="1" thickBot="1">
      <c r="A29" s="214" t="s">
        <v>330</v>
      </c>
      <c r="B29" s="215" t="str">
        <f>IF(AND(ISTEXT(Punktevergabe!E5),(Punktevergabe!E5="Neubau")),G29,L29)</f>
        <v/>
      </c>
      <c r="C29" s="125"/>
      <c r="F29" s="3" t="s">
        <v>274</v>
      </c>
      <c r="G29" s="128" t="str">
        <f>IF(ISNUMBER(G24),IF(G24&lt;=G43,H43,IF(AND(G24&lt;=G42,G24&gt;G43),ROUND(H43+(H42-H43)/(G42-G43)*(G24-G43),H42),"Mindestanforderung nicht erfüllt")),"")</f>
        <v/>
      </c>
      <c r="H29" s="125"/>
      <c r="K29" s="3" t="s">
        <v>274</v>
      </c>
      <c r="L29" s="128" t="str">
        <f>IF(ISNUMBER(L24),IF(L24&lt;=L43,M43,IF(AND(L24&lt;=L42,L24&gt;L43),ROUND(M43+(M42-M43)/(L42-L43)*(L24-L43),M42),"Mindestanforderung nicht erfüllt")),"")</f>
        <v/>
      </c>
      <c r="M29" s="125"/>
    </row>
    <row r="31" spans="1:14">
      <c r="B31" s="295"/>
    </row>
    <row r="32" spans="1:14" ht="15" thickBot="1"/>
    <row r="33" spans="6:14">
      <c r="F33" s="265"/>
      <c r="G33" s="266" t="s">
        <v>333</v>
      </c>
      <c r="H33" s="267" t="s">
        <v>3</v>
      </c>
      <c r="I33" s="671"/>
      <c r="J33" s="671"/>
      <c r="K33" s="265"/>
      <c r="L33" s="266" t="s">
        <v>333</v>
      </c>
      <c r="M33" s="267" t="s">
        <v>3</v>
      </c>
      <c r="N33" s="671"/>
    </row>
    <row r="34" spans="6:14" ht="15.75">
      <c r="F34" s="268" t="s">
        <v>336</v>
      </c>
      <c r="G34" s="664">
        <v>52</v>
      </c>
      <c r="H34" s="269">
        <v>0</v>
      </c>
      <c r="I34" s="671"/>
      <c r="J34" s="671"/>
      <c r="K34" s="268" t="s">
        <v>336</v>
      </c>
      <c r="L34" s="664">
        <v>62</v>
      </c>
      <c r="M34" s="269">
        <v>0</v>
      </c>
      <c r="N34" s="671"/>
    </row>
    <row r="35" spans="6:14" ht="15.75">
      <c r="F35" s="268" t="s">
        <v>337</v>
      </c>
      <c r="G35" s="664">
        <v>10</v>
      </c>
      <c r="H35" s="269">
        <v>25</v>
      </c>
      <c r="I35" s="671"/>
      <c r="J35" s="671"/>
      <c r="K35" s="268" t="s">
        <v>337</v>
      </c>
      <c r="L35" s="664">
        <v>22</v>
      </c>
      <c r="M35" s="269">
        <v>25</v>
      </c>
      <c r="N35" s="671"/>
    </row>
    <row r="36" spans="6:14" ht="15.75">
      <c r="F36" s="268" t="s">
        <v>345</v>
      </c>
      <c r="G36" s="272">
        <v>25</v>
      </c>
      <c r="H36" s="269">
        <v>0</v>
      </c>
      <c r="I36" s="671"/>
      <c r="J36" s="671"/>
      <c r="K36" s="268" t="s">
        <v>345</v>
      </c>
      <c r="L36" s="272">
        <v>30</v>
      </c>
      <c r="M36" s="269">
        <v>0</v>
      </c>
      <c r="N36" s="671"/>
    </row>
    <row r="37" spans="6:14" ht="15.75">
      <c r="F37" s="268" t="s">
        <v>346</v>
      </c>
      <c r="G37" s="272">
        <v>15</v>
      </c>
      <c r="H37" s="269">
        <v>40</v>
      </c>
      <c r="I37" s="671"/>
      <c r="J37" s="671"/>
      <c r="K37" s="268" t="s">
        <v>346</v>
      </c>
      <c r="L37" s="272">
        <v>17</v>
      </c>
      <c r="M37" s="269">
        <v>40</v>
      </c>
      <c r="N37" s="671"/>
    </row>
    <row r="38" spans="6:14" ht="15.75">
      <c r="F38" s="268" t="s">
        <v>338</v>
      </c>
      <c r="G38" s="272">
        <v>30</v>
      </c>
      <c r="H38" s="269">
        <v>0</v>
      </c>
      <c r="I38" s="671"/>
      <c r="J38" s="671"/>
      <c r="K38" s="268" t="s">
        <v>338</v>
      </c>
      <c r="L38" s="272">
        <v>50</v>
      </c>
      <c r="M38" s="269">
        <v>0</v>
      </c>
      <c r="N38" s="671"/>
    </row>
    <row r="39" spans="6:14" ht="15.75">
      <c r="F39" s="268" t="s">
        <v>339</v>
      </c>
      <c r="G39" s="272">
        <v>12</v>
      </c>
      <c r="H39" s="269">
        <v>30</v>
      </c>
      <c r="I39" s="671"/>
      <c r="J39" s="671"/>
      <c r="K39" s="268" t="s">
        <v>339</v>
      </c>
      <c r="L39" s="272">
        <v>20</v>
      </c>
      <c r="M39" s="269">
        <v>30</v>
      </c>
      <c r="N39" s="671"/>
    </row>
    <row r="40" spans="6:14" ht="15.75">
      <c r="F40" s="268" t="s">
        <v>340</v>
      </c>
      <c r="G40" s="664">
        <v>112</v>
      </c>
      <c r="H40" s="269">
        <v>0</v>
      </c>
      <c r="I40" s="671"/>
      <c r="J40" s="671"/>
      <c r="K40" s="268" t="s">
        <v>340</v>
      </c>
      <c r="L40" s="664">
        <v>146</v>
      </c>
      <c r="M40" s="269">
        <v>0</v>
      </c>
      <c r="N40" s="671"/>
    </row>
    <row r="41" spans="6:14" ht="15.75">
      <c r="F41" s="268" t="s">
        <v>341</v>
      </c>
      <c r="G41" s="664">
        <v>43</v>
      </c>
      <c r="H41" s="269">
        <v>120</v>
      </c>
      <c r="I41" s="671"/>
      <c r="J41" s="671"/>
      <c r="K41" s="268" t="s">
        <v>341</v>
      </c>
      <c r="L41" s="664">
        <v>43</v>
      </c>
      <c r="M41" s="269">
        <v>120</v>
      </c>
      <c r="N41" s="671"/>
    </row>
    <row r="42" spans="6:14" ht="15.75">
      <c r="F42" s="268" t="s">
        <v>334</v>
      </c>
      <c r="G42" s="664">
        <v>18</v>
      </c>
      <c r="H42" s="269">
        <v>0</v>
      </c>
      <c r="I42" s="671"/>
      <c r="J42" s="671"/>
      <c r="K42" s="268" t="s">
        <v>334</v>
      </c>
      <c r="L42" s="664">
        <v>24</v>
      </c>
      <c r="M42" s="269">
        <v>0</v>
      </c>
      <c r="N42" s="671"/>
    </row>
    <row r="43" spans="6:14" ht="16.5" thickBot="1">
      <c r="F43" s="270" t="s">
        <v>335</v>
      </c>
      <c r="G43" s="665">
        <v>0</v>
      </c>
      <c r="H43" s="271">
        <v>135</v>
      </c>
      <c r="K43" s="270" t="s">
        <v>335</v>
      </c>
      <c r="L43" s="665">
        <v>0</v>
      </c>
      <c r="M43" s="271">
        <v>135</v>
      </c>
    </row>
  </sheetData>
  <sheetProtection algorithmName="SHA-512" hashValue="mOKJ19/740EUMQBPTBPln4jtdWtgO45uu3IpXMwYi0l3N+HlGKophVKWaAxZeIzW+XliQdSIHq8f5ifNf3OwCA==" saltValue="FfgcgBhghwRPAiW0iE1hgw==" spinCount="100000" sheet="1" selectLockedCells="1"/>
  <mergeCells count="6">
    <mergeCell ref="F3:H3"/>
    <mergeCell ref="K3:M3"/>
    <mergeCell ref="F21:H21"/>
    <mergeCell ref="K21:M21"/>
    <mergeCell ref="F1:H1"/>
    <mergeCell ref="K1:M1"/>
  </mergeCells>
  <dataValidations xWindow="566" yWindow="362" count="1">
    <dataValidation allowBlank="1" showInputMessage="1" showErrorMessage="1" prompt="Angabe entnehmen aus Ausdruck OIB- Energieausweis (Seite2)" sqref="B4:B17" xr:uid="{00000000-0002-0000-0C00-000000000000}"/>
  </dataValidations>
  <printOptions horizontalCentered="1"/>
  <pageMargins left="0.59055118110236227" right="0.59055118110236227" top="0.59055118110236227" bottom="0.59055118110236227" header="0.31496062992125984" footer="0.31496062992125984"/>
  <pageSetup paperSize="9" scale="42" orientation="landscape" r:id="rId1"/>
  <ignoredErrors>
    <ignoredError sqref="G9 G15:G16 L9 L15:L16"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pageSetUpPr fitToPage="1"/>
  </sheetPr>
  <dimension ref="B1:AH247"/>
  <sheetViews>
    <sheetView topLeftCell="D1" zoomScale="85" zoomScaleNormal="85" workbookViewId="0">
      <selection activeCell="R33" sqref="R33"/>
    </sheetView>
  </sheetViews>
  <sheetFormatPr baseColWidth="10" defaultColWidth="11.42578125" defaultRowHeight="14.25"/>
  <cols>
    <col min="1" max="1" width="11.42578125" style="1"/>
    <col min="2" max="34" width="11.28515625" style="1" customWidth="1"/>
    <col min="35" max="16384" width="11.42578125" style="1"/>
  </cols>
  <sheetData>
    <row r="1" spans="2:34" ht="15" thickBot="1"/>
    <row r="2" spans="2:34">
      <c r="B2" s="964" t="s">
        <v>279</v>
      </c>
      <c r="C2" s="965"/>
      <c r="D2" s="966"/>
      <c r="E2" s="966"/>
      <c r="F2" s="966"/>
      <c r="G2" s="966"/>
      <c r="H2" s="966"/>
      <c r="I2" s="966"/>
      <c r="J2" s="966"/>
      <c r="K2" s="966"/>
      <c r="L2" s="966"/>
      <c r="M2" s="966"/>
      <c r="N2" s="966"/>
      <c r="O2" s="966"/>
      <c r="P2" s="966"/>
      <c r="Q2" s="967"/>
      <c r="S2" s="971" t="s">
        <v>280</v>
      </c>
      <c r="T2" s="972"/>
      <c r="U2" s="972"/>
      <c r="V2" s="972"/>
      <c r="W2" s="972"/>
      <c r="X2" s="972"/>
      <c r="Y2" s="972"/>
      <c r="Z2" s="972"/>
      <c r="AA2" s="972"/>
      <c r="AB2" s="972"/>
      <c r="AC2" s="972"/>
      <c r="AD2" s="972"/>
      <c r="AE2" s="972"/>
      <c r="AF2" s="972"/>
      <c r="AG2" s="972"/>
      <c r="AH2" s="973"/>
    </row>
    <row r="3" spans="2:34" ht="15" thickBot="1">
      <c r="B3" s="968"/>
      <c r="C3" s="969"/>
      <c r="D3" s="969"/>
      <c r="E3" s="969"/>
      <c r="F3" s="969"/>
      <c r="G3" s="969"/>
      <c r="H3" s="969"/>
      <c r="I3" s="969"/>
      <c r="J3" s="969"/>
      <c r="K3" s="969"/>
      <c r="L3" s="969"/>
      <c r="M3" s="969"/>
      <c r="N3" s="969"/>
      <c r="O3" s="969"/>
      <c r="P3" s="969"/>
      <c r="Q3" s="970"/>
      <c r="S3" s="974"/>
      <c r="T3" s="975"/>
      <c r="U3" s="975"/>
      <c r="V3" s="975"/>
      <c r="W3" s="975"/>
      <c r="X3" s="975"/>
      <c r="Y3" s="975"/>
      <c r="Z3" s="975"/>
      <c r="AA3" s="975"/>
      <c r="AB3" s="975"/>
      <c r="AC3" s="975"/>
      <c r="AD3" s="975"/>
      <c r="AE3" s="975"/>
      <c r="AF3" s="975"/>
      <c r="AG3" s="975"/>
      <c r="AH3" s="976"/>
    </row>
    <row r="4" spans="2:34">
      <c r="B4" s="145"/>
      <c r="C4" s="145"/>
      <c r="D4" s="145"/>
      <c r="E4" s="145"/>
      <c r="F4" s="145"/>
      <c r="G4" s="145"/>
      <c r="H4" s="145"/>
      <c r="I4" s="145"/>
      <c r="J4" s="145"/>
      <c r="K4" s="145"/>
      <c r="L4" s="145"/>
      <c r="M4" s="145"/>
      <c r="N4" s="145"/>
      <c r="O4" s="145"/>
      <c r="P4" s="145"/>
      <c r="Q4" s="145"/>
      <c r="S4" s="146"/>
      <c r="T4" s="146"/>
      <c r="U4" s="146"/>
      <c r="V4" s="146"/>
      <c r="W4" s="146"/>
      <c r="X4" s="146"/>
      <c r="Y4" s="146"/>
      <c r="Z4" s="146"/>
      <c r="AA4" s="146"/>
      <c r="AB4" s="146"/>
      <c r="AC4" s="146"/>
      <c r="AD4" s="146"/>
      <c r="AE4" s="146"/>
      <c r="AF4" s="146"/>
      <c r="AG4" s="146"/>
      <c r="AH4" s="146"/>
    </row>
    <row r="5" spans="2:34">
      <c r="B5" s="145"/>
      <c r="C5" s="145"/>
      <c r="D5" s="145"/>
      <c r="E5" s="145"/>
      <c r="F5" s="145"/>
      <c r="G5" s="145"/>
      <c r="H5" s="145"/>
      <c r="I5" s="145"/>
      <c r="J5" s="145"/>
      <c r="K5" s="145"/>
      <c r="L5" s="145"/>
      <c r="M5" s="145"/>
      <c r="N5" s="145"/>
      <c r="O5" s="145"/>
      <c r="P5" s="145"/>
      <c r="Q5" s="145"/>
      <c r="S5" s="146"/>
      <c r="T5" s="146"/>
      <c r="U5" s="146"/>
      <c r="V5" s="146"/>
      <c r="W5" s="146"/>
      <c r="X5" s="146"/>
      <c r="Y5" s="146"/>
      <c r="Z5" s="146"/>
      <c r="AA5" s="146"/>
      <c r="AB5" s="146"/>
      <c r="AC5" s="146"/>
      <c r="AD5" s="146"/>
      <c r="AE5" s="146"/>
      <c r="AF5" s="146"/>
      <c r="AG5" s="146"/>
      <c r="AH5" s="146"/>
    </row>
    <row r="6" spans="2:34">
      <c r="B6" s="145"/>
      <c r="C6" s="145"/>
      <c r="D6" s="145"/>
      <c r="E6" s="145"/>
      <c r="F6" s="145"/>
      <c r="G6" s="145"/>
      <c r="H6" s="145"/>
      <c r="I6" s="145"/>
      <c r="J6" s="145"/>
      <c r="K6" s="145"/>
      <c r="L6" s="145"/>
      <c r="M6" s="145"/>
      <c r="N6" s="145"/>
      <c r="O6" s="145"/>
      <c r="P6" s="145"/>
      <c r="Q6" s="145"/>
      <c r="S6" s="146"/>
      <c r="T6" s="146"/>
      <c r="U6" s="146"/>
      <c r="V6" s="146"/>
      <c r="W6" s="146"/>
      <c r="X6" s="146"/>
      <c r="Y6" s="146"/>
      <c r="Z6" s="146"/>
      <c r="AA6" s="146"/>
      <c r="AB6" s="146"/>
      <c r="AC6" s="146"/>
      <c r="AD6" s="146"/>
      <c r="AE6" s="146"/>
      <c r="AF6" s="146"/>
      <c r="AG6" s="146"/>
      <c r="AH6" s="146"/>
    </row>
    <row r="7" spans="2:34">
      <c r="B7" s="145"/>
      <c r="C7" s="145"/>
      <c r="D7" s="145"/>
      <c r="E7" s="145"/>
      <c r="F7" s="145"/>
      <c r="G7" s="145"/>
      <c r="H7" s="145"/>
      <c r="I7" s="145"/>
      <c r="J7" s="145"/>
      <c r="K7" s="145"/>
      <c r="L7" s="145"/>
      <c r="M7" s="145"/>
      <c r="N7" s="145"/>
      <c r="O7" s="145"/>
      <c r="P7" s="145"/>
      <c r="Q7" s="145"/>
      <c r="S7" s="146"/>
      <c r="T7" s="146"/>
      <c r="U7" s="146"/>
      <c r="V7" s="146"/>
      <c r="W7" s="146"/>
      <c r="X7" s="146"/>
      <c r="Y7" s="146"/>
      <c r="Z7" s="146"/>
      <c r="AA7" s="146"/>
      <c r="AB7" s="146"/>
      <c r="AC7" s="146"/>
      <c r="AD7" s="146"/>
      <c r="AE7" s="146"/>
      <c r="AF7" s="146"/>
      <c r="AG7" s="146"/>
      <c r="AH7" s="146"/>
    </row>
    <row r="8" spans="2:34">
      <c r="B8" s="145"/>
      <c r="C8" s="145"/>
      <c r="D8" s="145"/>
      <c r="E8" s="145"/>
      <c r="F8" s="145"/>
      <c r="G8" s="145"/>
      <c r="H8" s="145"/>
      <c r="I8" s="145"/>
      <c r="J8" s="145"/>
      <c r="K8" s="145"/>
      <c r="L8" s="145"/>
      <c r="M8" s="145"/>
      <c r="N8" s="145"/>
      <c r="O8" s="145"/>
      <c r="P8" s="145"/>
      <c r="Q8" s="145"/>
      <c r="S8" s="146"/>
      <c r="T8" s="146"/>
      <c r="U8" s="146"/>
      <c r="V8" s="146"/>
      <c r="W8" s="146"/>
      <c r="X8" s="146"/>
      <c r="Y8" s="146"/>
      <c r="Z8" s="146"/>
      <c r="AA8" s="146"/>
      <c r="AB8" s="146"/>
      <c r="AC8" s="146"/>
      <c r="AD8" s="146"/>
      <c r="AE8" s="146"/>
      <c r="AF8" s="146"/>
      <c r="AG8" s="146"/>
      <c r="AH8" s="146"/>
    </row>
    <row r="9" spans="2:34">
      <c r="B9" s="145"/>
      <c r="C9" s="145"/>
      <c r="D9" s="145"/>
      <c r="E9" s="145"/>
      <c r="F9" s="145"/>
      <c r="G9" s="145"/>
      <c r="H9" s="145"/>
      <c r="I9" s="145"/>
      <c r="J9" s="145"/>
      <c r="K9" s="145"/>
      <c r="L9" s="145"/>
      <c r="M9" s="145"/>
      <c r="N9" s="145"/>
      <c r="O9" s="145"/>
      <c r="P9" s="145"/>
      <c r="Q9" s="145"/>
      <c r="S9" s="146"/>
      <c r="T9" s="146"/>
      <c r="U9" s="146"/>
      <c r="V9" s="146"/>
      <c r="W9" s="146"/>
      <c r="X9" s="146"/>
      <c r="Y9" s="146"/>
      <c r="Z9" s="146"/>
      <c r="AA9" s="146"/>
      <c r="AB9" s="146"/>
      <c r="AC9" s="146"/>
      <c r="AD9" s="146"/>
      <c r="AE9" s="146"/>
      <c r="AF9" s="146"/>
      <c r="AG9" s="146"/>
      <c r="AH9" s="146"/>
    </row>
    <row r="10" spans="2:34">
      <c r="B10" s="145"/>
      <c r="C10" s="145"/>
      <c r="D10" s="145"/>
      <c r="E10" s="145"/>
      <c r="F10" s="145"/>
      <c r="G10" s="145"/>
      <c r="H10" s="145"/>
      <c r="I10" s="145"/>
      <c r="J10" s="145"/>
      <c r="K10" s="145"/>
      <c r="L10" s="145"/>
      <c r="M10" s="145"/>
      <c r="N10" s="145"/>
      <c r="O10" s="145"/>
      <c r="P10" s="145"/>
      <c r="Q10" s="145"/>
      <c r="S10" s="146"/>
      <c r="T10" s="146"/>
      <c r="U10" s="146"/>
      <c r="V10" s="146"/>
      <c r="W10" s="146"/>
      <c r="X10" s="146"/>
      <c r="Y10" s="146"/>
      <c r="Z10" s="146"/>
      <c r="AA10" s="146"/>
      <c r="AB10" s="146"/>
      <c r="AC10" s="146"/>
      <c r="AD10" s="146"/>
      <c r="AE10" s="146"/>
      <c r="AF10" s="146"/>
      <c r="AG10" s="146"/>
      <c r="AH10" s="146"/>
    </row>
    <row r="11" spans="2:34">
      <c r="B11" s="145"/>
      <c r="C11" s="145"/>
      <c r="D11" s="145"/>
      <c r="E11" s="145"/>
      <c r="F11" s="145"/>
      <c r="G11" s="145"/>
      <c r="H11" s="145"/>
      <c r="I11" s="145"/>
      <c r="J11" s="145"/>
      <c r="K11" s="145"/>
      <c r="L11" s="145"/>
      <c r="M11" s="145"/>
      <c r="N11" s="145"/>
      <c r="O11" s="145"/>
      <c r="P11" s="145"/>
      <c r="Q11" s="145"/>
      <c r="S11" s="146"/>
      <c r="T11" s="146"/>
      <c r="U11" s="146"/>
      <c r="V11" s="146"/>
      <c r="W11" s="146"/>
      <c r="X11" s="146"/>
      <c r="Y11" s="146"/>
      <c r="Z11" s="146"/>
      <c r="AA11" s="146"/>
      <c r="AB11" s="146"/>
      <c r="AC11" s="146"/>
      <c r="AD11" s="146"/>
      <c r="AE11" s="146"/>
      <c r="AF11" s="146"/>
      <c r="AG11" s="146"/>
      <c r="AH11" s="146"/>
    </row>
    <row r="12" spans="2:34">
      <c r="B12" s="145"/>
      <c r="C12" s="145"/>
      <c r="D12" s="145"/>
      <c r="E12" s="145"/>
      <c r="F12" s="145"/>
      <c r="G12" s="145"/>
      <c r="H12" s="145"/>
      <c r="I12" s="145"/>
      <c r="J12" s="145"/>
      <c r="K12" s="145"/>
      <c r="L12" s="145"/>
      <c r="M12" s="145"/>
      <c r="N12" s="145"/>
      <c r="O12" s="145"/>
      <c r="P12" s="145"/>
      <c r="Q12" s="145"/>
      <c r="S12" s="146"/>
      <c r="T12" s="146"/>
      <c r="U12" s="146"/>
      <c r="V12" s="146"/>
      <c r="W12" s="146"/>
      <c r="X12" s="146"/>
      <c r="Y12" s="146"/>
      <c r="Z12" s="146"/>
      <c r="AA12" s="146"/>
      <c r="AB12" s="146"/>
      <c r="AC12" s="146"/>
      <c r="AD12" s="146"/>
      <c r="AE12" s="146"/>
      <c r="AF12" s="146"/>
      <c r="AG12" s="146"/>
      <c r="AH12" s="146"/>
    </row>
    <row r="13" spans="2:34">
      <c r="B13" s="145"/>
      <c r="C13" s="145"/>
      <c r="D13" s="145"/>
      <c r="E13" s="145"/>
      <c r="F13" s="145"/>
      <c r="G13" s="145"/>
      <c r="H13" s="145"/>
      <c r="I13" s="145"/>
      <c r="J13" s="145"/>
      <c r="K13" s="145"/>
      <c r="L13" s="145"/>
      <c r="M13" s="145"/>
      <c r="N13" s="145"/>
      <c r="O13" s="145"/>
      <c r="P13" s="145"/>
      <c r="Q13" s="145"/>
      <c r="S13" s="146"/>
      <c r="T13" s="146"/>
      <c r="U13" s="146"/>
      <c r="V13" s="146"/>
      <c r="W13" s="146"/>
      <c r="X13" s="146"/>
      <c r="Y13" s="146"/>
      <c r="Z13" s="146"/>
      <c r="AA13" s="146"/>
      <c r="AB13" s="146"/>
      <c r="AC13" s="146"/>
      <c r="AD13" s="146"/>
      <c r="AE13" s="146"/>
      <c r="AF13" s="146"/>
      <c r="AG13" s="146"/>
      <c r="AH13" s="146"/>
    </row>
    <row r="14" spans="2:34">
      <c r="B14" s="145"/>
      <c r="C14" s="145"/>
      <c r="D14" s="145"/>
      <c r="E14" s="145"/>
      <c r="F14" s="145"/>
      <c r="G14" s="145"/>
      <c r="H14" s="145"/>
      <c r="I14" s="145"/>
      <c r="J14" s="145"/>
      <c r="K14" s="145"/>
      <c r="L14" s="145"/>
      <c r="M14" s="145"/>
      <c r="N14" s="145"/>
      <c r="O14" s="145"/>
      <c r="P14" s="145"/>
      <c r="Q14" s="145"/>
      <c r="S14" s="146"/>
      <c r="T14" s="146"/>
      <c r="U14" s="146"/>
      <c r="V14" s="146"/>
      <c r="W14" s="146"/>
      <c r="X14" s="146"/>
      <c r="Y14" s="146"/>
      <c r="Z14" s="146"/>
      <c r="AA14" s="146"/>
      <c r="AB14" s="146"/>
      <c r="AC14" s="146"/>
      <c r="AD14" s="146"/>
      <c r="AE14" s="146"/>
      <c r="AF14" s="146"/>
      <c r="AG14" s="146"/>
      <c r="AH14" s="146"/>
    </row>
    <row r="15" spans="2:34">
      <c r="B15" s="145"/>
      <c r="C15" s="145"/>
      <c r="D15" s="145"/>
      <c r="E15" s="145"/>
      <c r="F15" s="145"/>
      <c r="G15" s="145"/>
      <c r="H15" s="145"/>
      <c r="I15" s="145"/>
      <c r="J15" s="145"/>
      <c r="K15" s="145"/>
      <c r="L15" s="145"/>
      <c r="M15" s="145"/>
      <c r="N15" s="145"/>
      <c r="O15" s="145"/>
      <c r="P15" s="145"/>
      <c r="Q15" s="145"/>
      <c r="S15" s="146"/>
      <c r="T15" s="146"/>
      <c r="U15" s="146"/>
      <c r="V15" s="146"/>
      <c r="W15" s="146"/>
      <c r="X15" s="146"/>
      <c r="Y15" s="146"/>
      <c r="Z15" s="146"/>
      <c r="AA15" s="146"/>
      <c r="AB15" s="146"/>
      <c r="AC15" s="146"/>
      <c r="AD15" s="146"/>
      <c r="AE15" s="146"/>
      <c r="AF15" s="146"/>
      <c r="AG15" s="146"/>
      <c r="AH15" s="146"/>
    </row>
    <row r="16" spans="2:34">
      <c r="B16" s="145"/>
      <c r="C16" s="145"/>
      <c r="D16" s="145"/>
      <c r="E16" s="145"/>
      <c r="F16" s="145"/>
      <c r="G16" s="145"/>
      <c r="H16" s="145"/>
      <c r="I16" s="145"/>
      <c r="J16" s="145"/>
      <c r="K16" s="145"/>
      <c r="L16" s="145"/>
      <c r="M16" s="145"/>
      <c r="N16" s="145"/>
      <c r="O16" s="145"/>
      <c r="P16" s="145"/>
      <c r="Q16" s="145"/>
      <c r="S16" s="146"/>
      <c r="T16" s="146"/>
      <c r="U16" s="146"/>
      <c r="V16" s="146"/>
      <c r="W16" s="146"/>
      <c r="X16" s="146"/>
      <c r="Y16" s="146"/>
      <c r="Z16" s="146"/>
      <c r="AA16" s="146"/>
      <c r="AB16" s="146"/>
      <c r="AC16" s="146"/>
      <c r="AD16" s="146"/>
      <c r="AE16" s="146"/>
      <c r="AF16" s="146"/>
      <c r="AG16" s="146"/>
      <c r="AH16" s="146"/>
    </row>
    <row r="17" spans="2:34">
      <c r="B17" s="145"/>
      <c r="C17" s="145"/>
      <c r="D17" s="145"/>
      <c r="E17" s="145"/>
      <c r="F17" s="145"/>
      <c r="G17" s="145"/>
      <c r="H17" s="145"/>
      <c r="I17" s="145"/>
      <c r="J17" s="145"/>
      <c r="K17" s="145"/>
      <c r="L17" s="145"/>
      <c r="M17" s="145"/>
      <c r="N17" s="145"/>
      <c r="O17" s="145"/>
      <c r="P17" s="145"/>
      <c r="Q17" s="145"/>
      <c r="S17" s="146"/>
      <c r="T17" s="146"/>
      <c r="U17" s="146"/>
      <c r="V17" s="146"/>
      <c r="W17" s="146"/>
      <c r="X17" s="146"/>
      <c r="Y17" s="146"/>
      <c r="Z17" s="146"/>
      <c r="AA17" s="146"/>
      <c r="AB17" s="146"/>
      <c r="AC17" s="146"/>
      <c r="AD17" s="146"/>
      <c r="AE17" s="146"/>
      <c r="AF17" s="146"/>
      <c r="AG17" s="146"/>
      <c r="AH17" s="146"/>
    </row>
    <row r="18" spans="2:34">
      <c r="B18" s="145"/>
      <c r="C18" s="145"/>
      <c r="D18" s="145"/>
      <c r="E18" s="145"/>
      <c r="F18" s="145"/>
      <c r="G18" s="145"/>
      <c r="H18" s="145"/>
      <c r="I18" s="145"/>
      <c r="J18" s="145"/>
      <c r="K18" s="145"/>
      <c r="L18" s="145"/>
      <c r="M18" s="145"/>
      <c r="N18" s="145"/>
      <c r="O18" s="145"/>
      <c r="P18" s="145"/>
      <c r="Q18" s="145"/>
      <c r="S18" s="146"/>
      <c r="T18" s="146"/>
      <c r="U18" s="146"/>
      <c r="V18" s="146"/>
      <c r="W18" s="146"/>
      <c r="X18" s="146"/>
      <c r="Y18" s="146"/>
      <c r="Z18" s="146"/>
      <c r="AA18" s="146"/>
      <c r="AB18" s="146"/>
      <c r="AC18" s="146"/>
      <c r="AD18" s="146"/>
      <c r="AE18" s="146"/>
      <c r="AF18" s="146"/>
      <c r="AG18" s="146"/>
      <c r="AH18" s="146"/>
    </row>
    <row r="19" spans="2:34">
      <c r="B19" s="145"/>
      <c r="C19" s="145"/>
      <c r="D19" s="145"/>
      <c r="E19" s="145"/>
      <c r="F19" s="145"/>
      <c r="G19" s="145"/>
      <c r="H19" s="145"/>
      <c r="I19" s="145"/>
      <c r="J19" s="145"/>
      <c r="K19" s="145"/>
      <c r="L19" s="145"/>
      <c r="M19" s="145"/>
      <c r="N19" s="145"/>
      <c r="O19" s="145"/>
      <c r="P19" s="145"/>
      <c r="Q19" s="145"/>
      <c r="S19" s="146"/>
      <c r="T19" s="146"/>
      <c r="U19" s="146"/>
      <c r="V19" s="146"/>
      <c r="W19" s="146"/>
      <c r="X19" s="146"/>
      <c r="Y19" s="146"/>
      <c r="Z19" s="146"/>
      <c r="AA19" s="146"/>
      <c r="AB19" s="146"/>
      <c r="AC19" s="146"/>
      <c r="AD19" s="146"/>
      <c r="AE19" s="146"/>
      <c r="AF19" s="146"/>
      <c r="AG19" s="146"/>
      <c r="AH19" s="146"/>
    </row>
    <row r="20" spans="2:34">
      <c r="B20" s="145"/>
      <c r="C20" s="145"/>
      <c r="D20" s="145"/>
      <c r="E20" s="145"/>
      <c r="F20" s="145"/>
      <c r="G20" s="145"/>
      <c r="H20" s="145"/>
      <c r="I20" s="145"/>
      <c r="J20" s="145"/>
      <c r="K20" s="145"/>
      <c r="L20" s="145"/>
      <c r="M20" s="145"/>
      <c r="N20" s="145"/>
      <c r="O20" s="145"/>
      <c r="P20" s="145"/>
      <c r="Q20" s="145"/>
      <c r="S20" s="146"/>
      <c r="T20" s="146"/>
      <c r="U20" s="146"/>
      <c r="V20" s="146"/>
      <c r="W20" s="146"/>
      <c r="X20" s="146"/>
      <c r="Y20" s="146"/>
      <c r="Z20" s="146"/>
      <c r="AA20" s="146"/>
      <c r="AB20" s="146"/>
      <c r="AC20" s="146"/>
      <c r="AD20" s="146"/>
      <c r="AE20" s="146"/>
      <c r="AF20" s="146"/>
      <c r="AG20" s="146"/>
      <c r="AH20" s="146"/>
    </row>
    <row r="21" spans="2:34">
      <c r="B21" s="145"/>
      <c r="C21" s="145"/>
      <c r="D21" s="145"/>
      <c r="E21" s="145"/>
      <c r="F21" s="145"/>
      <c r="G21" s="145"/>
      <c r="H21" s="145"/>
      <c r="I21" s="145"/>
      <c r="J21" s="145"/>
      <c r="K21" s="145"/>
      <c r="L21" s="145"/>
      <c r="M21" s="145"/>
      <c r="N21" s="145"/>
      <c r="O21" s="145"/>
      <c r="P21" s="145"/>
      <c r="Q21" s="145"/>
      <c r="S21" s="146"/>
      <c r="T21" s="146"/>
      <c r="U21" s="146"/>
      <c r="V21" s="146"/>
      <c r="W21" s="146"/>
      <c r="X21" s="146"/>
      <c r="Y21" s="146"/>
      <c r="Z21" s="146"/>
      <c r="AA21" s="146"/>
      <c r="AB21" s="146"/>
      <c r="AC21" s="146"/>
      <c r="AD21" s="146"/>
      <c r="AE21" s="146"/>
      <c r="AF21" s="146"/>
      <c r="AG21" s="146"/>
      <c r="AH21" s="146"/>
    </row>
    <row r="22" spans="2:34">
      <c r="B22" s="145"/>
      <c r="C22" s="145"/>
      <c r="D22" s="145"/>
      <c r="E22" s="145"/>
      <c r="F22" s="145"/>
      <c r="G22" s="145"/>
      <c r="H22" s="145"/>
      <c r="I22" s="145"/>
      <c r="J22" s="145"/>
      <c r="K22" s="145"/>
      <c r="L22" s="145"/>
      <c r="M22" s="145"/>
      <c r="N22" s="145"/>
      <c r="O22" s="145"/>
      <c r="P22" s="145"/>
      <c r="Q22" s="145"/>
      <c r="S22" s="146"/>
      <c r="T22" s="146"/>
      <c r="U22" s="146"/>
      <c r="V22" s="146"/>
      <c r="W22" s="146"/>
      <c r="X22" s="146"/>
      <c r="Y22" s="146"/>
      <c r="Z22" s="146"/>
      <c r="AA22" s="146"/>
      <c r="AB22" s="146"/>
      <c r="AC22" s="146"/>
      <c r="AD22" s="146"/>
      <c r="AE22" s="146"/>
      <c r="AF22" s="146"/>
      <c r="AG22" s="146"/>
      <c r="AH22" s="146"/>
    </row>
    <row r="23" spans="2:34">
      <c r="B23" s="145"/>
      <c r="C23" s="145"/>
      <c r="D23" s="145"/>
      <c r="E23" s="145"/>
      <c r="F23" s="145"/>
      <c r="G23" s="145"/>
      <c r="H23" s="145"/>
      <c r="I23" s="145"/>
      <c r="J23" s="145"/>
      <c r="K23" s="145"/>
      <c r="L23" s="145"/>
      <c r="M23" s="145"/>
      <c r="N23" s="145"/>
      <c r="O23" s="145"/>
      <c r="P23" s="145"/>
      <c r="Q23" s="145"/>
      <c r="S23" s="146"/>
      <c r="T23" s="146"/>
      <c r="U23" s="146"/>
      <c r="V23" s="146"/>
      <c r="W23" s="146"/>
      <c r="X23" s="146"/>
      <c r="Y23" s="146"/>
      <c r="Z23" s="146"/>
      <c r="AA23" s="146"/>
      <c r="AB23" s="146"/>
      <c r="AC23" s="146"/>
      <c r="AD23" s="146"/>
      <c r="AE23" s="146"/>
      <c r="AF23" s="146"/>
      <c r="AG23" s="146"/>
      <c r="AH23" s="146"/>
    </row>
    <row r="24" spans="2:34">
      <c r="B24" s="145"/>
      <c r="C24" s="145"/>
      <c r="D24" s="145"/>
      <c r="E24" s="145"/>
      <c r="F24" s="145"/>
      <c r="G24" s="145"/>
      <c r="H24" s="145"/>
      <c r="I24" s="145"/>
      <c r="J24" s="145"/>
      <c r="K24" s="145"/>
      <c r="L24" s="145"/>
      <c r="M24" s="145"/>
      <c r="N24" s="145"/>
      <c r="O24" s="145"/>
      <c r="P24" s="145"/>
      <c r="Q24" s="145"/>
      <c r="S24" s="146"/>
      <c r="T24" s="146"/>
      <c r="U24" s="146"/>
      <c r="V24" s="146"/>
      <c r="W24" s="146"/>
      <c r="X24" s="146"/>
      <c r="Y24" s="146"/>
      <c r="Z24" s="146"/>
      <c r="AA24" s="146"/>
      <c r="AB24" s="146"/>
      <c r="AC24" s="146"/>
      <c r="AD24" s="146"/>
      <c r="AE24" s="146"/>
      <c r="AF24" s="146"/>
      <c r="AG24" s="146"/>
      <c r="AH24" s="146"/>
    </row>
    <row r="25" spans="2:34">
      <c r="B25" s="145"/>
      <c r="C25" s="145"/>
      <c r="D25" s="145"/>
      <c r="E25" s="145"/>
      <c r="F25" s="145"/>
      <c r="G25" s="145"/>
      <c r="H25" s="145"/>
      <c r="I25" s="145"/>
      <c r="J25" s="145"/>
      <c r="K25" s="145"/>
      <c r="L25" s="145"/>
      <c r="M25" s="145"/>
      <c r="N25" s="145"/>
      <c r="O25" s="145"/>
      <c r="P25" s="145"/>
      <c r="Q25" s="145"/>
      <c r="S25" s="146"/>
      <c r="T25" s="146"/>
      <c r="U25" s="146"/>
      <c r="V25" s="146"/>
      <c r="W25" s="146"/>
      <c r="X25" s="146"/>
      <c r="Y25" s="146"/>
      <c r="Z25" s="146"/>
      <c r="AA25" s="146"/>
      <c r="AB25" s="146"/>
      <c r="AC25" s="146"/>
      <c r="AD25" s="146"/>
      <c r="AE25" s="146"/>
      <c r="AF25" s="146"/>
      <c r="AG25" s="146"/>
      <c r="AH25" s="146"/>
    </row>
    <row r="26" spans="2:34">
      <c r="B26" s="145"/>
      <c r="C26" s="145"/>
      <c r="D26" s="145"/>
      <c r="E26" s="145"/>
      <c r="F26" s="145"/>
      <c r="G26" s="145"/>
      <c r="H26" s="145"/>
      <c r="I26" s="145"/>
      <c r="J26" s="145"/>
      <c r="K26" s="145"/>
      <c r="L26" s="145"/>
      <c r="M26" s="145"/>
      <c r="N26" s="145"/>
      <c r="O26" s="145"/>
      <c r="P26" s="145"/>
      <c r="Q26" s="145"/>
      <c r="S26" s="146"/>
      <c r="T26" s="146"/>
      <c r="U26" s="146"/>
      <c r="V26" s="146"/>
      <c r="W26" s="146"/>
      <c r="X26" s="146"/>
      <c r="Y26" s="146"/>
      <c r="Z26" s="146"/>
      <c r="AA26" s="146"/>
      <c r="AB26" s="146"/>
      <c r="AC26" s="146"/>
      <c r="AD26" s="146"/>
      <c r="AE26" s="146"/>
      <c r="AF26" s="146"/>
      <c r="AG26" s="146"/>
      <c r="AH26" s="146"/>
    </row>
    <row r="27" spans="2:34">
      <c r="B27" s="145"/>
      <c r="C27" s="145"/>
      <c r="D27" s="145"/>
      <c r="E27" s="145"/>
      <c r="F27" s="145"/>
      <c r="G27" s="145"/>
      <c r="H27" s="145"/>
      <c r="I27" s="145"/>
      <c r="J27" s="145"/>
      <c r="K27" s="145"/>
      <c r="L27" s="145"/>
      <c r="M27" s="145"/>
      <c r="N27" s="145"/>
      <c r="O27" s="145"/>
      <c r="P27" s="145"/>
      <c r="Q27" s="145"/>
      <c r="S27" s="146"/>
      <c r="T27" s="146"/>
      <c r="U27" s="146"/>
      <c r="V27" s="146"/>
      <c r="W27" s="146"/>
      <c r="X27" s="146"/>
      <c r="Y27" s="146"/>
      <c r="Z27" s="146"/>
      <c r="AA27" s="146"/>
      <c r="AB27" s="146"/>
      <c r="AC27" s="146"/>
      <c r="AD27" s="146"/>
      <c r="AE27" s="146"/>
      <c r="AF27" s="146"/>
      <c r="AG27" s="146"/>
      <c r="AH27" s="146"/>
    </row>
    <row r="28" spans="2:34">
      <c r="B28" s="145"/>
      <c r="C28" s="145"/>
      <c r="D28" s="145"/>
      <c r="E28" s="145"/>
      <c r="F28" s="145"/>
      <c r="G28" s="145"/>
      <c r="H28" s="145"/>
      <c r="I28" s="145"/>
      <c r="J28" s="145"/>
      <c r="K28" s="145"/>
      <c r="L28" s="145"/>
      <c r="M28" s="145"/>
      <c r="N28" s="145"/>
      <c r="O28" s="145"/>
      <c r="P28" s="145"/>
      <c r="Q28" s="145"/>
      <c r="S28" s="146"/>
      <c r="T28" s="146"/>
      <c r="U28" s="146"/>
      <c r="V28" s="146"/>
      <c r="W28" s="146"/>
      <c r="X28" s="146"/>
      <c r="Y28" s="146"/>
      <c r="Z28" s="146"/>
      <c r="AA28" s="146"/>
      <c r="AB28" s="146"/>
      <c r="AC28" s="146"/>
      <c r="AD28" s="146"/>
      <c r="AE28" s="146"/>
      <c r="AF28" s="146"/>
      <c r="AG28" s="146"/>
      <c r="AH28" s="146"/>
    </row>
    <row r="29" spans="2:34">
      <c r="B29" s="145"/>
      <c r="C29" s="145"/>
      <c r="D29" s="145"/>
      <c r="E29" s="145"/>
      <c r="F29" s="145"/>
      <c r="G29" s="145"/>
      <c r="H29" s="145"/>
      <c r="I29" s="145"/>
      <c r="J29" s="145"/>
      <c r="K29" s="145"/>
      <c r="L29" s="145"/>
      <c r="M29" s="145"/>
      <c r="N29" s="145"/>
      <c r="O29" s="145"/>
      <c r="P29" s="145"/>
      <c r="Q29" s="145"/>
      <c r="S29" s="146"/>
      <c r="T29" s="146"/>
      <c r="U29" s="146"/>
      <c r="V29" s="146"/>
      <c r="W29" s="146"/>
      <c r="X29" s="146"/>
      <c r="Y29" s="146"/>
      <c r="Z29" s="146"/>
      <c r="AA29" s="146"/>
      <c r="AB29" s="146"/>
      <c r="AC29" s="146"/>
      <c r="AD29" s="146"/>
      <c r="AE29" s="146"/>
      <c r="AF29" s="146"/>
      <c r="AG29" s="146"/>
      <c r="AH29" s="146"/>
    </row>
    <row r="30" spans="2:34">
      <c r="B30" s="145"/>
      <c r="C30" s="145"/>
      <c r="D30" s="145"/>
      <c r="E30" s="145"/>
      <c r="F30" s="145"/>
      <c r="G30" s="145"/>
      <c r="H30" s="145"/>
      <c r="I30" s="145"/>
      <c r="J30" s="145"/>
      <c r="K30" s="145"/>
      <c r="L30" s="145"/>
      <c r="M30" s="145"/>
      <c r="N30" s="145"/>
      <c r="O30" s="145"/>
      <c r="P30" s="145"/>
      <c r="Q30" s="145"/>
      <c r="S30" s="146"/>
      <c r="T30" s="146"/>
      <c r="U30" s="146"/>
      <c r="V30" s="146"/>
      <c r="W30" s="146"/>
      <c r="X30" s="146"/>
      <c r="Y30" s="146"/>
      <c r="Z30" s="146"/>
      <c r="AA30" s="146"/>
      <c r="AB30" s="146"/>
      <c r="AC30" s="146"/>
      <c r="AD30" s="146"/>
      <c r="AE30" s="146"/>
      <c r="AF30" s="146"/>
      <c r="AG30" s="146"/>
      <c r="AH30" s="146"/>
    </row>
    <row r="31" spans="2:34">
      <c r="B31" s="145"/>
      <c r="C31" s="145"/>
      <c r="D31" s="145"/>
      <c r="E31" s="145"/>
      <c r="F31" s="145"/>
      <c r="G31" s="145"/>
      <c r="H31" s="145"/>
      <c r="I31" s="145"/>
      <c r="J31" s="145"/>
      <c r="K31" s="145"/>
      <c r="L31" s="145"/>
      <c r="M31" s="145"/>
      <c r="N31" s="145"/>
      <c r="O31" s="145"/>
      <c r="P31" s="145"/>
      <c r="Q31" s="145"/>
      <c r="S31" s="146"/>
      <c r="T31" s="146"/>
      <c r="U31" s="146"/>
      <c r="V31" s="146"/>
      <c r="W31" s="146"/>
      <c r="X31" s="146"/>
      <c r="Y31" s="146"/>
      <c r="Z31" s="146"/>
      <c r="AA31" s="146"/>
      <c r="AB31" s="146"/>
      <c r="AC31" s="146"/>
      <c r="AD31" s="146"/>
      <c r="AE31" s="146"/>
      <c r="AF31" s="146"/>
      <c r="AG31" s="146"/>
      <c r="AH31" s="146"/>
    </row>
    <row r="32" spans="2:34">
      <c r="B32" s="145"/>
      <c r="C32" s="145"/>
      <c r="D32" s="145"/>
      <c r="E32" s="145"/>
      <c r="F32" s="145"/>
      <c r="G32" s="145"/>
      <c r="H32" s="145"/>
      <c r="I32" s="145"/>
      <c r="J32" s="145"/>
      <c r="K32" s="145"/>
      <c r="L32" s="145"/>
      <c r="M32" s="145"/>
      <c r="N32" s="145"/>
      <c r="O32" s="145"/>
      <c r="P32" s="145"/>
      <c r="Q32" s="145"/>
      <c r="S32" s="146"/>
      <c r="T32" s="146"/>
      <c r="U32" s="146"/>
      <c r="V32" s="146"/>
      <c r="W32" s="146"/>
      <c r="X32" s="146"/>
      <c r="Y32" s="146"/>
      <c r="Z32" s="146"/>
      <c r="AA32" s="146"/>
      <c r="AB32" s="146"/>
      <c r="AC32" s="146"/>
      <c r="AD32" s="146"/>
      <c r="AE32" s="146"/>
      <c r="AF32" s="146"/>
      <c r="AG32" s="146"/>
      <c r="AH32" s="146"/>
    </row>
    <row r="33" spans="2:34">
      <c r="B33" s="145"/>
      <c r="C33" s="145"/>
      <c r="D33" s="145"/>
      <c r="E33" s="145"/>
      <c r="F33" s="145"/>
      <c r="G33" s="145"/>
      <c r="H33" s="145"/>
      <c r="I33" s="145"/>
      <c r="J33" s="145"/>
      <c r="K33" s="145"/>
      <c r="L33" s="145"/>
      <c r="M33" s="145"/>
      <c r="N33" s="145"/>
      <c r="O33" s="145"/>
      <c r="P33" s="145"/>
      <c r="Q33" s="145"/>
      <c r="S33" s="146"/>
      <c r="T33" s="146"/>
      <c r="U33" s="146"/>
      <c r="V33" s="146"/>
      <c r="W33" s="146"/>
      <c r="X33" s="146"/>
      <c r="Y33" s="146"/>
      <c r="Z33" s="146"/>
      <c r="AA33" s="146"/>
      <c r="AB33" s="146"/>
      <c r="AC33" s="146"/>
      <c r="AD33" s="146"/>
      <c r="AE33" s="146"/>
      <c r="AF33" s="146"/>
      <c r="AG33" s="146"/>
      <c r="AH33" s="146"/>
    </row>
    <row r="34" spans="2:34">
      <c r="B34" s="145"/>
      <c r="C34" s="145"/>
      <c r="D34" s="145"/>
      <c r="E34" s="145"/>
      <c r="F34" s="145"/>
      <c r="G34" s="145"/>
      <c r="H34" s="145"/>
      <c r="I34" s="145"/>
      <c r="J34" s="145"/>
      <c r="K34" s="145"/>
      <c r="L34" s="145"/>
      <c r="M34" s="145"/>
      <c r="N34" s="145"/>
      <c r="O34" s="145"/>
      <c r="P34" s="145"/>
      <c r="Q34" s="145"/>
      <c r="S34" s="146"/>
      <c r="T34" s="146"/>
      <c r="U34" s="146"/>
      <c r="V34" s="146"/>
      <c r="W34" s="146"/>
      <c r="X34" s="146"/>
      <c r="Y34" s="146"/>
      <c r="Z34" s="146"/>
      <c r="AA34" s="146"/>
      <c r="AB34" s="146"/>
      <c r="AC34" s="146"/>
      <c r="AD34" s="146"/>
      <c r="AE34" s="146"/>
      <c r="AF34" s="146"/>
      <c r="AG34" s="146"/>
      <c r="AH34" s="146"/>
    </row>
    <row r="35" spans="2:34">
      <c r="B35" s="145"/>
      <c r="C35" s="145"/>
      <c r="D35" s="145"/>
      <c r="E35" s="145"/>
      <c r="F35" s="145"/>
      <c r="G35" s="145"/>
      <c r="H35" s="145"/>
      <c r="I35" s="145"/>
      <c r="J35" s="145"/>
      <c r="K35" s="145"/>
      <c r="L35" s="145"/>
      <c r="M35" s="145"/>
      <c r="N35" s="145"/>
      <c r="O35" s="145"/>
      <c r="P35" s="145"/>
      <c r="Q35" s="145"/>
      <c r="S35" s="146"/>
      <c r="T35" s="146"/>
      <c r="U35" s="146"/>
      <c r="V35" s="146"/>
      <c r="W35" s="146"/>
      <c r="X35" s="146"/>
      <c r="Y35" s="146"/>
      <c r="Z35" s="146"/>
      <c r="AA35" s="146"/>
      <c r="AB35" s="146"/>
      <c r="AC35" s="146"/>
      <c r="AD35" s="146"/>
      <c r="AE35" s="146"/>
      <c r="AF35" s="146"/>
      <c r="AG35" s="146"/>
      <c r="AH35" s="146"/>
    </row>
    <row r="36" spans="2:34">
      <c r="B36" s="145"/>
      <c r="C36" s="145"/>
      <c r="D36" s="145"/>
      <c r="E36" s="145"/>
      <c r="F36" s="145"/>
      <c r="G36" s="145"/>
      <c r="H36" s="145"/>
      <c r="I36" s="145"/>
      <c r="J36" s="145"/>
      <c r="K36" s="145"/>
      <c r="L36" s="145"/>
      <c r="M36" s="145"/>
      <c r="N36" s="145"/>
      <c r="O36" s="145"/>
      <c r="P36" s="145"/>
      <c r="Q36" s="145"/>
      <c r="S36" s="146"/>
      <c r="T36" s="146"/>
      <c r="U36" s="146"/>
      <c r="V36" s="146"/>
      <c r="W36" s="146"/>
      <c r="X36" s="146"/>
      <c r="Y36" s="146"/>
      <c r="Z36" s="146"/>
      <c r="AA36" s="146"/>
      <c r="AB36" s="146"/>
      <c r="AC36" s="146"/>
      <c r="AD36" s="146"/>
      <c r="AE36" s="146"/>
      <c r="AF36" s="146"/>
      <c r="AG36" s="146"/>
      <c r="AH36" s="146"/>
    </row>
    <row r="37" spans="2:34">
      <c r="B37" s="145"/>
      <c r="C37" s="145"/>
      <c r="D37" s="145"/>
      <c r="E37" s="145"/>
      <c r="F37" s="145"/>
      <c r="G37" s="145"/>
      <c r="H37" s="145"/>
      <c r="I37" s="145"/>
      <c r="J37" s="145"/>
      <c r="K37" s="145"/>
      <c r="L37" s="145"/>
      <c r="M37" s="145"/>
      <c r="N37" s="145"/>
      <c r="O37" s="145"/>
      <c r="P37" s="145"/>
      <c r="Q37" s="145"/>
      <c r="S37" s="146"/>
      <c r="T37" s="146"/>
      <c r="U37" s="146"/>
      <c r="V37" s="146"/>
      <c r="W37" s="146"/>
      <c r="X37" s="146"/>
      <c r="Y37" s="146"/>
      <c r="Z37" s="146"/>
      <c r="AA37" s="146"/>
      <c r="AB37" s="146"/>
      <c r="AC37" s="146"/>
      <c r="AD37" s="146"/>
      <c r="AE37" s="146"/>
      <c r="AF37" s="146"/>
      <c r="AG37" s="146"/>
      <c r="AH37" s="146"/>
    </row>
    <row r="38" spans="2:34">
      <c r="B38" s="145"/>
      <c r="C38" s="145"/>
      <c r="D38" s="145"/>
      <c r="E38" s="145"/>
      <c r="F38" s="145"/>
      <c r="G38" s="145"/>
      <c r="H38" s="145"/>
      <c r="I38" s="145"/>
      <c r="J38" s="145"/>
      <c r="K38" s="145"/>
      <c r="L38" s="145"/>
      <c r="M38" s="145"/>
      <c r="N38" s="145"/>
      <c r="O38" s="145"/>
      <c r="P38" s="145"/>
      <c r="Q38" s="145"/>
      <c r="S38" s="146"/>
      <c r="T38" s="146"/>
      <c r="U38" s="146"/>
      <c r="V38" s="146"/>
      <c r="W38" s="146"/>
      <c r="X38" s="146"/>
      <c r="Y38" s="146"/>
      <c r="Z38" s="146"/>
      <c r="AA38" s="146"/>
      <c r="AB38" s="146"/>
      <c r="AC38" s="146"/>
      <c r="AD38" s="146"/>
      <c r="AE38" s="146"/>
      <c r="AF38" s="146"/>
      <c r="AG38" s="146"/>
      <c r="AH38" s="146"/>
    </row>
    <row r="39" spans="2:34">
      <c r="B39" s="145"/>
      <c r="C39" s="145"/>
      <c r="D39" s="145"/>
      <c r="E39" s="145"/>
      <c r="F39" s="145"/>
      <c r="G39" s="145"/>
      <c r="H39" s="145"/>
      <c r="I39" s="145"/>
      <c r="J39" s="145"/>
      <c r="K39" s="145"/>
      <c r="L39" s="145"/>
      <c r="M39" s="145"/>
      <c r="N39" s="145"/>
      <c r="O39" s="145"/>
      <c r="P39" s="145"/>
      <c r="Q39" s="145"/>
      <c r="S39" s="146"/>
      <c r="T39" s="146"/>
      <c r="U39" s="146"/>
      <c r="V39" s="146"/>
      <c r="W39" s="146"/>
      <c r="X39" s="146"/>
      <c r="Y39" s="146"/>
      <c r="Z39" s="146"/>
      <c r="AA39" s="146"/>
      <c r="AB39" s="146"/>
      <c r="AC39" s="146"/>
      <c r="AD39" s="146"/>
      <c r="AE39" s="146"/>
      <c r="AF39" s="146"/>
      <c r="AG39" s="146"/>
      <c r="AH39" s="146"/>
    </row>
    <row r="40" spans="2:34">
      <c r="B40" s="145"/>
      <c r="C40" s="145"/>
      <c r="D40" s="145"/>
      <c r="E40" s="145"/>
      <c r="F40" s="145"/>
      <c r="G40" s="145"/>
      <c r="H40" s="145"/>
      <c r="I40" s="145"/>
      <c r="J40" s="145"/>
      <c r="K40" s="145"/>
      <c r="L40" s="145"/>
      <c r="M40" s="145"/>
      <c r="N40" s="145"/>
      <c r="O40" s="145"/>
      <c r="P40" s="145"/>
      <c r="Q40" s="145"/>
      <c r="S40" s="146"/>
      <c r="T40" s="146"/>
      <c r="U40" s="146"/>
      <c r="V40" s="146"/>
      <c r="W40" s="146"/>
      <c r="X40" s="146"/>
      <c r="Y40" s="146"/>
      <c r="Z40" s="146"/>
      <c r="AA40" s="146"/>
      <c r="AB40" s="146"/>
      <c r="AC40" s="146"/>
      <c r="AD40" s="146"/>
      <c r="AE40" s="146"/>
      <c r="AF40" s="146"/>
      <c r="AG40" s="146"/>
      <c r="AH40" s="146"/>
    </row>
    <row r="41" spans="2:34">
      <c r="B41" s="145"/>
      <c r="C41" s="145"/>
      <c r="D41" s="145"/>
      <c r="E41" s="145"/>
      <c r="F41" s="145"/>
      <c r="G41" s="145"/>
      <c r="H41" s="145"/>
      <c r="I41" s="145"/>
      <c r="J41" s="145"/>
      <c r="K41" s="145"/>
      <c r="L41" s="145"/>
      <c r="M41" s="145"/>
      <c r="N41" s="145"/>
      <c r="O41" s="145"/>
      <c r="P41" s="145"/>
      <c r="Q41" s="145"/>
      <c r="S41" s="146"/>
      <c r="T41" s="146"/>
      <c r="U41" s="146"/>
      <c r="V41" s="146"/>
      <c r="W41" s="146"/>
      <c r="X41" s="146"/>
      <c r="Y41" s="146"/>
      <c r="Z41" s="146"/>
      <c r="AA41" s="146"/>
      <c r="AB41" s="146"/>
      <c r="AC41" s="146"/>
      <c r="AD41" s="146"/>
      <c r="AE41" s="146"/>
      <c r="AF41" s="146"/>
      <c r="AG41" s="146"/>
      <c r="AH41" s="146"/>
    </row>
    <row r="42" spans="2:34">
      <c r="B42" s="145"/>
      <c r="C42" s="145"/>
      <c r="D42" s="145"/>
      <c r="E42" s="145"/>
      <c r="F42" s="145"/>
      <c r="G42" s="145"/>
      <c r="H42" s="145"/>
      <c r="I42" s="145"/>
      <c r="J42" s="145"/>
      <c r="K42" s="145"/>
      <c r="L42" s="145"/>
      <c r="M42" s="145"/>
      <c r="N42" s="145"/>
      <c r="O42" s="145"/>
      <c r="P42" s="145"/>
      <c r="Q42" s="145"/>
      <c r="S42" s="146"/>
      <c r="T42" s="146"/>
      <c r="U42" s="146"/>
      <c r="V42" s="146"/>
      <c r="W42" s="146"/>
      <c r="X42" s="146"/>
      <c r="Y42" s="146"/>
      <c r="Z42" s="146"/>
      <c r="AA42" s="146"/>
      <c r="AB42" s="146"/>
      <c r="AC42" s="146"/>
      <c r="AD42" s="146"/>
      <c r="AE42" s="146"/>
      <c r="AF42" s="146"/>
      <c r="AG42" s="146"/>
      <c r="AH42" s="146"/>
    </row>
    <row r="43" spans="2:34">
      <c r="B43" s="145"/>
      <c r="C43" s="145"/>
      <c r="D43" s="145"/>
      <c r="E43" s="145"/>
      <c r="F43" s="145"/>
      <c r="G43" s="145"/>
      <c r="H43" s="145"/>
      <c r="I43" s="145"/>
      <c r="J43" s="145"/>
      <c r="K43" s="145"/>
      <c r="L43" s="145"/>
      <c r="M43" s="145"/>
      <c r="N43" s="145"/>
      <c r="O43" s="145"/>
      <c r="P43" s="145"/>
      <c r="Q43" s="145"/>
      <c r="S43" s="146"/>
      <c r="T43" s="146"/>
      <c r="U43" s="146"/>
      <c r="V43" s="146"/>
      <c r="W43" s="146"/>
      <c r="X43" s="146"/>
      <c r="Y43" s="146"/>
      <c r="Z43" s="146"/>
      <c r="AA43" s="146"/>
      <c r="AB43" s="146"/>
      <c r="AC43" s="146"/>
      <c r="AD43" s="146"/>
      <c r="AE43" s="146"/>
      <c r="AF43" s="146"/>
      <c r="AG43" s="146"/>
      <c r="AH43" s="146"/>
    </row>
    <row r="44" spans="2:34">
      <c r="B44" s="145"/>
      <c r="C44" s="145"/>
      <c r="D44" s="145"/>
      <c r="E44" s="145"/>
      <c r="F44" s="145"/>
      <c r="G44" s="145"/>
      <c r="H44" s="145"/>
      <c r="I44" s="145"/>
      <c r="J44" s="145"/>
      <c r="K44" s="145"/>
      <c r="L44" s="145"/>
      <c r="M44" s="145"/>
      <c r="N44" s="145"/>
      <c r="O44" s="145"/>
      <c r="P44" s="145"/>
      <c r="Q44" s="145"/>
      <c r="S44" s="146"/>
      <c r="T44" s="146"/>
      <c r="U44" s="146"/>
      <c r="V44" s="146"/>
      <c r="W44" s="146"/>
      <c r="X44" s="146"/>
      <c r="Y44" s="146"/>
      <c r="Z44" s="146"/>
      <c r="AA44" s="146"/>
      <c r="AB44" s="146"/>
      <c r="AC44" s="146"/>
      <c r="AD44" s="146"/>
      <c r="AE44" s="146"/>
      <c r="AF44" s="146"/>
      <c r="AG44" s="146"/>
      <c r="AH44" s="146"/>
    </row>
    <row r="45" spans="2:34">
      <c r="B45" s="145"/>
      <c r="C45" s="145"/>
      <c r="D45" s="145"/>
      <c r="E45" s="145"/>
      <c r="F45" s="145"/>
      <c r="G45" s="145"/>
      <c r="H45" s="145"/>
      <c r="I45" s="145"/>
      <c r="J45" s="145"/>
      <c r="K45" s="145"/>
      <c r="L45" s="145"/>
      <c r="M45" s="145"/>
      <c r="N45" s="145"/>
      <c r="O45" s="145"/>
      <c r="P45" s="145"/>
      <c r="Q45" s="145"/>
      <c r="S45" s="146"/>
      <c r="T45" s="146"/>
      <c r="U45" s="146"/>
      <c r="V45" s="146"/>
      <c r="W45" s="146"/>
      <c r="X45" s="146"/>
      <c r="Y45" s="146"/>
      <c r="Z45" s="146"/>
      <c r="AA45" s="146"/>
      <c r="AB45" s="146"/>
      <c r="AC45" s="146"/>
      <c r="AD45" s="146"/>
      <c r="AE45" s="146"/>
      <c r="AF45" s="146"/>
      <c r="AG45" s="146"/>
      <c r="AH45" s="146"/>
    </row>
    <row r="46" spans="2:34">
      <c r="B46" s="145"/>
      <c r="C46" s="145"/>
      <c r="D46" s="145"/>
      <c r="E46" s="145"/>
      <c r="F46" s="145"/>
      <c r="G46" s="145"/>
      <c r="H46" s="145"/>
      <c r="I46" s="145"/>
      <c r="J46" s="145"/>
      <c r="K46" s="145"/>
      <c r="L46" s="145"/>
      <c r="M46" s="145"/>
      <c r="N46" s="145"/>
      <c r="O46" s="145"/>
      <c r="P46" s="145"/>
      <c r="Q46" s="145"/>
      <c r="S46" s="146"/>
      <c r="T46" s="146"/>
      <c r="U46" s="146"/>
      <c r="V46" s="146"/>
      <c r="W46" s="146"/>
      <c r="X46" s="146"/>
      <c r="Y46" s="146"/>
      <c r="Z46" s="146"/>
      <c r="AA46" s="146"/>
      <c r="AB46" s="146"/>
      <c r="AC46" s="146"/>
      <c r="AD46" s="146"/>
      <c r="AE46" s="146"/>
      <c r="AF46" s="146"/>
      <c r="AG46" s="146"/>
      <c r="AH46" s="146"/>
    </row>
    <row r="47" spans="2:34">
      <c r="B47" s="145"/>
      <c r="C47" s="145"/>
      <c r="D47" s="145"/>
      <c r="E47" s="145"/>
      <c r="F47" s="145"/>
      <c r="G47" s="145"/>
      <c r="H47" s="145"/>
      <c r="I47" s="145"/>
      <c r="J47" s="145"/>
      <c r="K47" s="145"/>
      <c r="L47" s="145"/>
      <c r="M47" s="145"/>
      <c r="N47" s="145"/>
      <c r="O47" s="145"/>
      <c r="P47" s="145"/>
      <c r="Q47" s="145"/>
      <c r="S47" s="146"/>
      <c r="T47" s="146"/>
      <c r="U47" s="146"/>
      <c r="V47" s="146"/>
      <c r="W47" s="146"/>
      <c r="X47" s="146"/>
      <c r="Y47" s="146"/>
      <c r="Z47" s="146"/>
      <c r="AA47" s="146"/>
      <c r="AB47" s="146"/>
      <c r="AC47" s="146"/>
      <c r="AD47" s="146"/>
      <c r="AE47" s="146"/>
      <c r="AF47" s="146"/>
      <c r="AG47" s="146"/>
      <c r="AH47" s="146"/>
    </row>
    <row r="48" spans="2:34">
      <c r="B48" s="145"/>
      <c r="C48" s="145"/>
      <c r="D48" s="145"/>
      <c r="E48" s="145"/>
      <c r="F48" s="145"/>
      <c r="G48" s="145"/>
      <c r="H48" s="145"/>
      <c r="I48" s="145"/>
      <c r="J48" s="145"/>
      <c r="K48" s="145"/>
      <c r="L48" s="145"/>
      <c r="M48" s="145"/>
      <c r="N48" s="145"/>
      <c r="O48" s="145"/>
      <c r="P48" s="145"/>
      <c r="Q48" s="145"/>
      <c r="S48" s="146"/>
      <c r="T48" s="146"/>
      <c r="U48" s="146"/>
      <c r="V48" s="146"/>
      <c r="W48" s="146"/>
      <c r="X48" s="146"/>
      <c r="Y48" s="146"/>
      <c r="Z48" s="146"/>
      <c r="AA48" s="146"/>
      <c r="AB48" s="146"/>
      <c r="AC48" s="146"/>
      <c r="AD48" s="146"/>
      <c r="AE48" s="146"/>
      <c r="AF48" s="146"/>
      <c r="AG48" s="146"/>
      <c r="AH48" s="146"/>
    </row>
    <row r="49" spans="2:34">
      <c r="B49" s="145"/>
      <c r="C49" s="145"/>
      <c r="D49" s="145"/>
      <c r="E49" s="145"/>
      <c r="F49" s="145"/>
      <c r="G49" s="145"/>
      <c r="H49" s="145"/>
      <c r="I49" s="145"/>
      <c r="J49" s="145"/>
      <c r="K49" s="145"/>
      <c r="L49" s="145"/>
      <c r="M49" s="145"/>
      <c r="N49" s="145"/>
      <c r="O49" s="145"/>
      <c r="P49" s="145"/>
      <c r="Q49" s="145"/>
      <c r="S49" s="146"/>
      <c r="T49" s="146"/>
      <c r="U49" s="146"/>
      <c r="V49" s="146"/>
      <c r="W49" s="146"/>
      <c r="X49" s="146"/>
      <c r="Y49" s="146"/>
      <c r="Z49" s="146"/>
      <c r="AA49" s="146"/>
      <c r="AB49" s="146"/>
      <c r="AC49" s="146"/>
      <c r="AD49" s="146"/>
      <c r="AE49" s="146"/>
      <c r="AF49" s="146"/>
      <c r="AG49" s="146"/>
      <c r="AH49" s="146"/>
    </row>
    <row r="50" spans="2:34">
      <c r="B50" s="145"/>
      <c r="C50" s="145"/>
      <c r="D50" s="145"/>
      <c r="E50" s="145"/>
      <c r="F50" s="145"/>
      <c r="G50" s="145"/>
      <c r="H50" s="145"/>
      <c r="I50" s="145"/>
      <c r="J50" s="145"/>
      <c r="K50" s="145"/>
      <c r="L50" s="145"/>
      <c r="M50" s="145"/>
      <c r="N50" s="145"/>
      <c r="O50" s="145"/>
      <c r="P50" s="145"/>
      <c r="Q50" s="145"/>
      <c r="S50" s="146"/>
      <c r="T50" s="146"/>
      <c r="U50" s="146"/>
      <c r="V50" s="146"/>
      <c r="W50" s="146"/>
      <c r="X50" s="146"/>
      <c r="Y50" s="146"/>
      <c r="Z50" s="146"/>
      <c r="AA50" s="146"/>
      <c r="AB50" s="146"/>
      <c r="AC50" s="146"/>
      <c r="AD50" s="146"/>
      <c r="AE50" s="146"/>
      <c r="AF50" s="146"/>
      <c r="AG50" s="146"/>
      <c r="AH50" s="146"/>
    </row>
    <row r="51" spans="2:34">
      <c r="B51" s="145"/>
      <c r="C51" s="145"/>
      <c r="D51" s="145"/>
      <c r="E51" s="145"/>
      <c r="F51" s="145"/>
      <c r="G51" s="145"/>
      <c r="H51" s="145"/>
      <c r="I51" s="145"/>
      <c r="J51" s="145"/>
      <c r="K51" s="145"/>
      <c r="L51" s="145"/>
      <c r="M51" s="145"/>
      <c r="N51" s="145"/>
      <c r="O51" s="145"/>
      <c r="P51" s="145"/>
      <c r="Q51" s="145"/>
      <c r="S51" s="146"/>
      <c r="T51" s="146"/>
      <c r="U51" s="146"/>
      <c r="V51" s="146"/>
      <c r="W51" s="146"/>
      <c r="X51" s="146"/>
      <c r="Y51" s="146"/>
      <c r="Z51" s="146"/>
      <c r="AA51" s="146"/>
      <c r="AB51" s="146"/>
      <c r="AC51" s="146"/>
      <c r="AD51" s="146"/>
      <c r="AE51" s="146"/>
      <c r="AF51" s="146"/>
      <c r="AG51" s="146"/>
      <c r="AH51" s="146"/>
    </row>
    <row r="52" spans="2:34">
      <c r="B52" s="145"/>
      <c r="C52" s="145"/>
      <c r="D52" s="145"/>
      <c r="E52" s="145"/>
      <c r="F52" s="145"/>
      <c r="G52" s="145"/>
      <c r="H52" s="145"/>
      <c r="I52" s="145"/>
      <c r="J52" s="145"/>
      <c r="K52" s="145"/>
      <c r="L52" s="145"/>
      <c r="M52" s="145"/>
      <c r="N52" s="145"/>
      <c r="O52" s="145"/>
      <c r="P52" s="145"/>
      <c r="Q52" s="145"/>
      <c r="S52" s="146"/>
      <c r="T52" s="146"/>
      <c r="U52" s="146"/>
      <c r="V52" s="146"/>
      <c r="W52" s="146"/>
      <c r="X52" s="146"/>
      <c r="Y52" s="146"/>
      <c r="Z52" s="146"/>
      <c r="AA52" s="146"/>
      <c r="AB52" s="146"/>
      <c r="AC52" s="146"/>
      <c r="AD52" s="146"/>
      <c r="AE52" s="146"/>
      <c r="AF52" s="146"/>
      <c r="AG52" s="146"/>
      <c r="AH52" s="146"/>
    </row>
    <row r="53" spans="2:34">
      <c r="B53" s="145"/>
      <c r="C53" s="145"/>
      <c r="D53" s="145"/>
      <c r="E53" s="145"/>
      <c r="F53" s="145"/>
      <c r="G53" s="145"/>
      <c r="H53" s="145"/>
      <c r="I53" s="145"/>
      <c r="J53" s="145"/>
      <c r="K53" s="145"/>
      <c r="L53" s="145"/>
      <c r="M53" s="145"/>
      <c r="N53" s="145"/>
      <c r="O53" s="145"/>
      <c r="P53" s="145"/>
      <c r="Q53" s="145"/>
      <c r="S53" s="146"/>
      <c r="T53" s="146"/>
      <c r="U53" s="146"/>
      <c r="V53" s="146"/>
      <c r="W53" s="146"/>
      <c r="X53" s="146"/>
      <c r="Y53" s="146"/>
      <c r="Z53" s="146"/>
      <c r="AA53" s="146"/>
      <c r="AB53" s="146"/>
      <c r="AC53" s="146"/>
      <c r="AD53" s="146"/>
      <c r="AE53" s="146"/>
      <c r="AF53" s="146"/>
      <c r="AG53" s="146"/>
      <c r="AH53" s="146"/>
    </row>
    <row r="54" spans="2:34">
      <c r="B54" s="145"/>
      <c r="C54" s="145"/>
      <c r="D54" s="145"/>
      <c r="E54" s="145"/>
      <c r="F54" s="145"/>
      <c r="G54" s="145"/>
      <c r="H54" s="145"/>
      <c r="I54" s="145"/>
      <c r="J54" s="145"/>
      <c r="K54" s="145"/>
      <c r="L54" s="145"/>
      <c r="M54" s="145"/>
      <c r="N54" s="145"/>
      <c r="O54" s="145"/>
      <c r="P54" s="145"/>
      <c r="Q54" s="145"/>
      <c r="S54" s="146"/>
      <c r="T54" s="146"/>
      <c r="U54" s="146"/>
      <c r="V54" s="146"/>
      <c r="W54" s="146"/>
      <c r="X54" s="146"/>
      <c r="Y54" s="146"/>
      <c r="Z54" s="146"/>
      <c r="AA54" s="146"/>
      <c r="AB54" s="146"/>
      <c r="AC54" s="146"/>
      <c r="AD54" s="146"/>
      <c r="AE54" s="146"/>
      <c r="AF54" s="146"/>
      <c r="AG54" s="146"/>
      <c r="AH54" s="146"/>
    </row>
    <row r="55" spans="2:34">
      <c r="B55" s="145"/>
      <c r="C55" s="145"/>
      <c r="D55" s="145"/>
      <c r="E55" s="145"/>
      <c r="F55" s="145"/>
      <c r="G55" s="145"/>
      <c r="H55" s="145"/>
      <c r="I55" s="145"/>
      <c r="J55" s="145"/>
      <c r="K55" s="145"/>
      <c r="L55" s="145"/>
      <c r="M55" s="145"/>
      <c r="N55" s="145"/>
      <c r="O55" s="145"/>
      <c r="P55" s="145"/>
      <c r="Q55" s="145"/>
      <c r="S55" s="146"/>
      <c r="T55" s="146"/>
      <c r="U55" s="146"/>
      <c r="V55" s="146"/>
      <c r="W55" s="146"/>
      <c r="X55" s="146"/>
      <c r="Y55" s="146"/>
      <c r="Z55" s="146"/>
      <c r="AA55" s="146"/>
      <c r="AB55" s="146"/>
      <c r="AC55" s="146"/>
      <c r="AD55" s="146"/>
      <c r="AE55" s="146"/>
      <c r="AF55" s="146"/>
      <c r="AG55" s="146"/>
      <c r="AH55" s="146"/>
    </row>
    <row r="56" spans="2:34">
      <c r="B56" s="145"/>
      <c r="C56" s="145"/>
      <c r="D56" s="145"/>
      <c r="E56" s="145"/>
      <c r="F56" s="145"/>
      <c r="G56" s="145"/>
      <c r="H56" s="145"/>
      <c r="I56" s="145"/>
      <c r="J56" s="145"/>
      <c r="K56" s="145"/>
      <c r="L56" s="145"/>
      <c r="M56" s="145"/>
      <c r="N56" s="145"/>
      <c r="O56" s="145"/>
      <c r="P56" s="145"/>
      <c r="Q56" s="145"/>
      <c r="S56" s="146"/>
      <c r="T56" s="146"/>
      <c r="U56" s="146"/>
      <c r="V56" s="146"/>
      <c r="W56" s="146"/>
      <c r="X56" s="146"/>
      <c r="Y56" s="146"/>
      <c r="Z56" s="146"/>
      <c r="AA56" s="146"/>
      <c r="AB56" s="146"/>
      <c r="AC56" s="146"/>
      <c r="AD56" s="146"/>
      <c r="AE56" s="146"/>
      <c r="AF56" s="146"/>
      <c r="AG56" s="146"/>
      <c r="AH56" s="146"/>
    </row>
    <row r="57" spans="2:34">
      <c r="B57" s="145"/>
      <c r="C57" s="145"/>
      <c r="D57" s="145"/>
      <c r="E57" s="145"/>
      <c r="F57" s="145"/>
      <c r="G57" s="145"/>
      <c r="H57" s="145"/>
      <c r="I57" s="145"/>
      <c r="J57" s="145"/>
      <c r="K57" s="145"/>
      <c r="L57" s="145"/>
      <c r="M57" s="145"/>
      <c r="N57" s="145"/>
      <c r="O57" s="145"/>
      <c r="P57" s="145"/>
      <c r="Q57" s="145"/>
      <c r="S57" s="146"/>
      <c r="T57" s="146"/>
      <c r="U57" s="146"/>
      <c r="V57" s="146"/>
      <c r="W57" s="146"/>
      <c r="X57" s="146"/>
      <c r="Y57" s="146"/>
      <c r="Z57" s="146"/>
      <c r="AA57" s="146"/>
      <c r="AB57" s="146"/>
      <c r="AC57" s="146"/>
      <c r="AD57" s="146"/>
      <c r="AE57" s="146"/>
      <c r="AF57" s="146"/>
      <c r="AG57" s="146"/>
      <c r="AH57" s="146"/>
    </row>
    <row r="58" spans="2:34">
      <c r="B58" s="145"/>
      <c r="C58" s="145"/>
      <c r="D58" s="145"/>
      <c r="E58" s="145"/>
      <c r="F58" s="145"/>
      <c r="G58" s="145"/>
      <c r="H58" s="145"/>
      <c r="I58" s="145"/>
      <c r="J58" s="145"/>
      <c r="K58" s="145"/>
      <c r="L58" s="145"/>
      <c r="M58" s="145"/>
      <c r="N58" s="145"/>
      <c r="O58" s="145"/>
      <c r="P58" s="145"/>
      <c r="Q58" s="145"/>
      <c r="S58" s="146"/>
      <c r="T58" s="146"/>
      <c r="U58" s="146"/>
      <c r="V58" s="146"/>
      <c r="W58" s="146"/>
      <c r="X58" s="146"/>
      <c r="Y58" s="146"/>
      <c r="Z58" s="146"/>
      <c r="AA58" s="146"/>
      <c r="AB58" s="146"/>
      <c r="AC58" s="146"/>
      <c r="AD58" s="146"/>
      <c r="AE58" s="146"/>
      <c r="AF58" s="146"/>
      <c r="AG58" s="146"/>
      <c r="AH58" s="146"/>
    </row>
    <row r="59" spans="2:34">
      <c r="B59" s="145"/>
      <c r="C59" s="145"/>
      <c r="D59" s="145"/>
      <c r="E59" s="145"/>
      <c r="F59" s="145"/>
      <c r="G59" s="145"/>
      <c r="H59" s="145"/>
      <c r="I59" s="145"/>
      <c r="J59" s="145"/>
      <c r="K59" s="145"/>
      <c r="L59" s="145"/>
      <c r="M59" s="145"/>
      <c r="N59" s="145"/>
      <c r="O59" s="145"/>
      <c r="P59" s="145"/>
      <c r="Q59" s="145"/>
      <c r="S59" s="146"/>
      <c r="T59" s="146"/>
      <c r="U59" s="146"/>
      <c r="V59" s="146"/>
      <c r="W59" s="146"/>
      <c r="X59" s="146"/>
      <c r="Y59" s="146"/>
      <c r="Z59" s="146"/>
      <c r="AA59" s="146"/>
      <c r="AB59" s="146"/>
      <c r="AC59" s="146"/>
      <c r="AD59" s="146"/>
      <c r="AE59" s="146"/>
      <c r="AF59" s="146"/>
      <c r="AG59" s="146"/>
      <c r="AH59" s="146"/>
    </row>
    <row r="60" spans="2:34">
      <c r="B60" s="145"/>
      <c r="C60" s="145"/>
      <c r="D60" s="145"/>
      <c r="E60" s="145"/>
      <c r="F60" s="145"/>
      <c r="G60" s="145"/>
      <c r="H60" s="145"/>
      <c r="I60" s="145"/>
      <c r="J60" s="145"/>
      <c r="K60" s="145"/>
      <c r="L60" s="145"/>
      <c r="M60" s="145"/>
      <c r="N60" s="145"/>
      <c r="O60" s="145"/>
      <c r="P60" s="145"/>
      <c r="Q60" s="145"/>
      <c r="S60" s="146"/>
      <c r="T60" s="146"/>
      <c r="U60" s="146"/>
      <c r="V60" s="146"/>
      <c r="W60" s="146"/>
      <c r="X60" s="146"/>
      <c r="Y60" s="146"/>
      <c r="Z60" s="146"/>
      <c r="AA60" s="146"/>
      <c r="AB60" s="146"/>
      <c r="AC60" s="146"/>
      <c r="AD60" s="146"/>
      <c r="AE60" s="146"/>
      <c r="AF60" s="146"/>
      <c r="AG60" s="146"/>
      <c r="AH60" s="146"/>
    </row>
    <row r="61" spans="2:34">
      <c r="B61" s="145"/>
      <c r="C61" s="145"/>
      <c r="D61" s="145"/>
      <c r="E61" s="145"/>
      <c r="F61" s="145"/>
      <c r="G61" s="145"/>
      <c r="H61" s="145"/>
      <c r="I61" s="145"/>
      <c r="J61" s="145"/>
      <c r="K61" s="145"/>
      <c r="L61" s="145"/>
      <c r="M61" s="145"/>
      <c r="N61" s="145"/>
      <c r="O61" s="145"/>
      <c r="P61" s="145"/>
      <c r="Q61" s="145"/>
      <c r="S61" s="146"/>
      <c r="T61" s="146"/>
      <c r="U61" s="146"/>
      <c r="V61" s="146"/>
      <c r="W61" s="146"/>
      <c r="X61" s="146"/>
      <c r="Y61" s="146"/>
      <c r="Z61" s="146"/>
      <c r="AA61" s="146"/>
      <c r="AB61" s="146"/>
      <c r="AC61" s="146"/>
      <c r="AD61" s="146"/>
      <c r="AE61" s="146"/>
      <c r="AF61" s="146"/>
      <c r="AG61" s="146"/>
      <c r="AH61" s="146"/>
    </row>
    <row r="62" spans="2:34">
      <c r="B62" s="145"/>
      <c r="C62" s="145"/>
      <c r="D62" s="145"/>
      <c r="E62" s="145"/>
      <c r="F62" s="145"/>
      <c r="G62" s="145"/>
      <c r="H62" s="145"/>
      <c r="I62" s="145"/>
      <c r="J62" s="145"/>
      <c r="K62" s="145"/>
      <c r="L62" s="145"/>
      <c r="M62" s="145"/>
      <c r="N62" s="145"/>
      <c r="O62" s="145"/>
      <c r="P62" s="145"/>
      <c r="Q62" s="145"/>
      <c r="S62" s="146"/>
      <c r="T62" s="146"/>
      <c r="U62" s="146"/>
      <c r="V62" s="146"/>
      <c r="W62" s="146"/>
      <c r="X62" s="146"/>
      <c r="Y62" s="146"/>
      <c r="Z62" s="146"/>
      <c r="AA62" s="146"/>
      <c r="AB62" s="146"/>
      <c r="AC62" s="146"/>
      <c r="AD62" s="146"/>
      <c r="AE62" s="146"/>
      <c r="AF62" s="146"/>
      <c r="AG62" s="146"/>
      <c r="AH62" s="146"/>
    </row>
    <row r="63" spans="2:34">
      <c r="B63" s="145"/>
      <c r="C63" s="145"/>
      <c r="D63" s="145"/>
      <c r="E63" s="145"/>
      <c r="F63" s="145"/>
      <c r="G63" s="145"/>
      <c r="H63" s="145"/>
      <c r="I63" s="145"/>
      <c r="J63" s="145"/>
      <c r="K63" s="145"/>
      <c r="L63" s="145"/>
      <c r="M63" s="145"/>
      <c r="N63" s="145"/>
      <c r="O63" s="145"/>
      <c r="P63" s="145"/>
      <c r="Q63" s="145"/>
      <c r="S63" s="146"/>
      <c r="T63" s="146"/>
      <c r="U63" s="146"/>
      <c r="V63" s="146"/>
      <c r="W63" s="146"/>
      <c r="X63" s="146"/>
      <c r="Y63" s="146"/>
      <c r="Z63" s="146"/>
      <c r="AA63" s="146"/>
      <c r="AB63" s="146"/>
      <c r="AC63" s="146"/>
      <c r="AD63" s="146"/>
      <c r="AE63" s="146"/>
      <c r="AF63" s="146"/>
      <c r="AG63" s="146"/>
      <c r="AH63" s="146"/>
    </row>
    <row r="64" spans="2:34">
      <c r="B64" s="145"/>
      <c r="C64" s="145"/>
      <c r="D64" s="145"/>
      <c r="E64" s="145"/>
      <c r="F64" s="145"/>
      <c r="G64" s="145"/>
      <c r="H64" s="145"/>
      <c r="I64" s="145"/>
      <c r="J64" s="145"/>
      <c r="K64" s="145"/>
      <c r="L64" s="145"/>
      <c r="M64" s="145"/>
      <c r="N64" s="145"/>
      <c r="O64" s="145"/>
      <c r="P64" s="145"/>
      <c r="Q64" s="145"/>
      <c r="S64" s="146"/>
      <c r="T64" s="146"/>
      <c r="U64" s="146"/>
      <c r="V64" s="146"/>
      <c r="W64" s="146"/>
      <c r="X64" s="146"/>
      <c r="Y64" s="146"/>
      <c r="Z64" s="146"/>
      <c r="AA64" s="146"/>
      <c r="AB64" s="146"/>
      <c r="AC64" s="146"/>
      <c r="AD64" s="146"/>
      <c r="AE64" s="146"/>
      <c r="AF64" s="146"/>
      <c r="AG64" s="146"/>
      <c r="AH64" s="146"/>
    </row>
    <row r="65" spans="2:34">
      <c r="B65" s="145"/>
      <c r="C65" s="145"/>
      <c r="D65" s="145"/>
      <c r="E65" s="145"/>
      <c r="F65" s="145"/>
      <c r="G65" s="145"/>
      <c r="H65" s="145"/>
      <c r="I65" s="145"/>
      <c r="J65" s="145"/>
      <c r="K65" s="145"/>
      <c r="L65" s="145"/>
      <c r="M65" s="145"/>
      <c r="N65" s="145"/>
      <c r="O65" s="145"/>
      <c r="P65" s="145"/>
      <c r="Q65" s="145"/>
      <c r="S65" s="146"/>
      <c r="T65" s="146"/>
      <c r="U65" s="146"/>
      <c r="V65" s="146"/>
      <c r="W65" s="146"/>
      <c r="X65" s="146"/>
      <c r="Y65" s="146"/>
      <c r="Z65" s="146"/>
      <c r="AA65" s="146"/>
      <c r="AB65" s="146"/>
      <c r="AC65" s="146"/>
      <c r="AD65" s="146"/>
      <c r="AE65" s="146"/>
      <c r="AF65" s="146"/>
      <c r="AG65" s="146"/>
      <c r="AH65" s="146"/>
    </row>
    <row r="66" spans="2:34">
      <c r="B66" s="145"/>
      <c r="C66" s="145"/>
      <c r="D66" s="145"/>
      <c r="E66" s="145"/>
      <c r="F66" s="145"/>
      <c r="G66" s="145"/>
      <c r="H66" s="145"/>
      <c r="I66" s="145"/>
      <c r="J66" s="145"/>
      <c r="K66" s="145"/>
      <c r="L66" s="145"/>
      <c r="M66" s="145"/>
      <c r="N66" s="145"/>
      <c r="O66" s="145"/>
      <c r="P66" s="145"/>
      <c r="Q66" s="145"/>
      <c r="S66" s="146"/>
      <c r="T66" s="146"/>
      <c r="U66" s="146"/>
      <c r="V66" s="146"/>
      <c r="W66" s="146"/>
      <c r="X66" s="146"/>
      <c r="Y66" s="146"/>
      <c r="Z66" s="146"/>
      <c r="AA66" s="146"/>
      <c r="AB66" s="146"/>
      <c r="AC66" s="146"/>
      <c r="AD66" s="146"/>
      <c r="AE66" s="146"/>
      <c r="AF66" s="146"/>
      <c r="AG66" s="146"/>
      <c r="AH66" s="146"/>
    </row>
    <row r="67" spans="2:34">
      <c r="B67" s="145"/>
      <c r="C67" s="145"/>
      <c r="D67" s="145"/>
      <c r="E67" s="145"/>
      <c r="F67" s="145"/>
      <c r="G67" s="145"/>
      <c r="H67" s="145"/>
      <c r="I67" s="145"/>
      <c r="J67" s="145"/>
      <c r="K67" s="145"/>
      <c r="L67" s="145"/>
      <c r="M67" s="145"/>
      <c r="N67" s="145"/>
      <c r="O67" s="145"/>
      <c r="P67" s="145"/>
      <c r="Q67" s="145"/>
      <c r="S67" s="146"/>
      <c r="T67" s="146"/>
      <c r="U67" s="146"/>
      <c r="V67" s="146"/>
      <c r="W67" s="146"/>
      <c r="X67" s="146"/>
      <c r="Y67" s="146"/>
      <c r="Z67" s="146"/>
      <c r="AA67" s="146"/>
      <c r="AB67" s="146"/>
      <c r="AC67" s="146"/>
      <c r="AD67" s="146"/>
      <c r="AE67" s="146"/>
      <c r="AF67" s="146"/>
      <c r="AG67" s="146"/>
      <c r="AH67" s="146"/>
    </row>
    <row r="68" spans="2:34">
      <c r="B68" s="145"/>
      <c r="C68" s="145"/>
      <c r="D68" s="145"/>
      <c r="E68" s="145"/>
      <c r="F68" s="145"/>
      <c r="G68" s="145"/>
      <c r="H68" s="145"/>
      <c r="I68" s="145"/>
      <c r="J68" s="145"/>
      <c r="K68" s="145"/>
      <c r="L68" s="145"/>
      <c r="M68" s="145"/>
      <c r="N68" s="145"/>
      <c r="O68" s="145"/>
      <c r="P68" s="145"/>
      <c r="Q68" s="145"/>
      <c r="S68" s="146"/>
      <c r="T68" s="146"/>
      <c r="U68" s="146"/>
      <c r="V68" s="146"/>
      <c r="W68" s="146"/>
      <c r="X68" s="146"/>
      <c r="Y68" s="146"/>
      <c r="Z68" s="146"/>
      <c r="AA68" s="146"/>
      <c r="AB68" s="146"/>
      <c r="AC68" s="146"/>
      <c r="AD68" s="146"/>
      <c r="AE68" s="146"/>
      <c r="AF68" s="146"/>
      <c r="AG68" s="146"/>
      <c r="AH68" s="146"/>
    </row>
    <row r="69" spans="2:34">
      <c r="B69" s="145"/>
      <c r="C69" s="145"/>
      <c r="D69" s="145"/>
      <c r="E69" s="145"/>
      <c r="F69" s="145"/>
      <c r="G69" s="145"/>
      <c r="H69" s="145"/>
      <c r="I69" s="145"/>
      <c r="J69" s="145"/>
      <c r="K69" s="145"/>
      <c r="L69" s="145"/>
      <c r="M69" s="145"/>
      <c r="N69" s="145"/>
      <c r="O69" s="145"/>
      <c r="P69" s="145"/>
      <c r="Q69" s="145"/>
      <c r="S69" s="146"/>
      <c r="T69" s="146"/>
      <c r="U69" s="146"/>
      <c r="V69" s="146"/>
      <c r="W69" s="146"/>
      <c r="X69" s="146"/>
      <c r="Y69" s="146"/>
      <c r="Z69" s="146"/>
      <c r="AA69" s="146"/>
      <c r="AB69" s="146"/>
      <c r="AC69" s="146"/>
      <c r="AD69" s="146"/>
      <c r="AE69" s="146"/>
      <c r="AF69" s="146"/>
      <c r="AG69" s="146"/>
      <c r="AH69" s="146"/>
    </row>
    <row r="70" spans="2:34">
      <c r="B70" s="145"/>
      <c r="C70" s="145"/>
      <c r="D70" s="145"/>
      <c r="E70" s="145"/>
      <c r="F70" s="145"/>
      <c r="G70" s="145"/>
      <c r="H70" s="145"/>
      <c r="I70" s="145"/>
      <c r="J70" s="145"/>
      <c r="K70" s="145"/>
      <c r="L70" s="145"/>
      <c r="M70" s="145"/>
      <c r="N70" s="145"/>
      <c r="O70" s="145"/>
      <c r="P70" s="145"/>
      <c r="Q70" s="145"/>
      <c r="S70" s="146"/>
      <c r="T70" s="146"/>
      <c r="U70" s="146"/>
      <c r="V70" s="146"/>
      <c r="W70" s="146"/>
      <c r="X70" s="146"/>
      <c r="Y70" s="146"/>
      <c r="Z70" s="146"/>
      <c r="AA70" s="146"/>
      <c r="AB70" s="146"/>
      <c r="AC70" s="146"/>
      <c r="AD70" s="146"/>
      <c r="AE70" s="146"/>
      <c r="AF70" s="146"/>
      <c r="AG70" s="146"/>
      <c r="AH70" s="146"/>
    </row>
    <row r="71" spans="2:34">
      <c r="B71" s="145"/>
      <c r="C71" s="145"/>
      <c r="D71" s="145"/>
      <c r="E71" s="145"/>
      <c r="F71" s="145"/>
      <c r="G71" s="145"/>
      <c r="H71" s="145"/>
      <c r="I71" s="145"/>
      <c r="J71" s="145"/>
      <c r="K71" s="145"/>
      <c r="L71" s="145"/>
      <c r="M71" s="145"/>
      <c r="N71" s="145"/>
      <c r="O71" s="145"/>
      <c r="P71" s="145"/>
      <c r="Q71" s="145"/>
      <c r="S71" s="146"/>
      <c r="T71" s="146"/>
      <c r="U71" s="146"/>
      <c r="V71" s="146"/>
      <c r="W71" s="146"/>
      <c r="X71" s="146"/>
      <c r="Y71" s="146"/>
      <c r="Z71" s="146"/>
      <c r="AA71" s="146"/>
      <c r="AB71" s="146"/>
      <c r="AC71" s="146"/>
      <c r="AD71" s="146"/>
      <c r="AE71" s="146"/>
      <c r="AF71" s="146"/>
      <c r="AG71" s="146"/>
      <c r="AH71" s="146"/>
    </row>
    <row r="72" spans="2:34">
      <c r="B72" s="145"/>
      <c r="C72" s="145"/>
      <c r="D72" s="145"/>
      <c r="E72" s="145"/>
      <c r="F72" s="145"/>
      <c r="G72" s="145"/>
      <c r="H72" s="145"/>
      <c r="I72" s="145"/>
      <c r="J72" s="145"/>
      <c r="K72" s="145"/>
      <c r="L72" s="145"/>
      <c r="M72" s="145"/>
      <c r="N72" s="145"/>
      <c r="O72" s="145"/>
      <c r="P72" s="145"/>
      <c r="Q72" s="145"/>
      <c r="S72" s="146"/>
      <c r="T72" s="146"/>
      <c r="U72" s="146"/>
      <c r="V72" s="146"/>
      <c r="W72" s="146"/>
      <c r="X72" s="146"/>
      <c r="Y72" s="146"/>
      <c r="Z72" s="146"/>
      <c r="AA72" s="146"/>
      <c r="AB72" s="146"/>
      <c r="AC72" s="146"/>
      <c r="AD72" s="146"/>
      <c r="AE72" s="146"/>
      <c r="AF72" s="146"/>
      <c r="AG72" s="146"/>
      <c r="AH72" s="146"/>
    </row>
    <row r="73" spans="2:34">
      <c r="B73" s="145"/>
      <c r="C73" s="145"/>
      <c r="D73" s="145"/>
      <c r="E73" s="145"/>
      <c r="F73" s="145"/>
      <c r="G73" s="145"/>
      <c r="H73" s="145"/>
      <c r="I73" s="145"/>
      <c r="J73" s="145"/>
      <c r="K73" s="145"/>
      <c r="L73" s="145"/>
      <c r="M73" s="145"/>
      <c r="N73" s="145"/>
      <c r="O73" s="145"/>
      <c r="P73" s="145"/>
      <c r="Q73" s="145"/>
      <c r="S73" s="146"/>
      <c r="T73" s="146"/>
      <c r="U73" s="146"/>
      <c r="V73" s="146"/>
      <c r="W73" s="146"/>
      <c r="X73" s="146"/>
      <c r="Y73" s="146"/>
      <c r="Z73" s="146"/>
      <c r="AA73" s="146"/>
      <c r="AB73" s="146"/>
      <c r="AC73" s="146"/>
      <c r="AD73" s="146"/>
      <c r="AE73" s="146"/>
      <c r="AF73" s="146"/>
      <c r="AG73" s="146"/>
      <c r="AH73" s="146"/>
    </row>
    <row r="74" spans="2:34">
      <c r="B74" s="145"/>
      <c r="C74" s="145"/>
      <c r="D74" s="275"/>
      <c r="E74" s="276"/>
      <c r="F74" s="275"/>
      <c r="G74" s="145"/>
      <c r="H74" s="145"/>
      <c r="I74" s="145"/>
      <c r="J74" s="145"/>
      <c r="K74" s="145"/>
      <c r="L74" s="145"/>
      <c r="M74" s="145"/>
      <c r="N74" s="145"/>
      <c r="O74" s="145"/>
      <c r="P74" s="145"/>
      <c r="Q74" s="145"/>
      <c r="S74" s="146"/>
      <c r="T74" s="146"/>
      <c r="U74" s="146"/>
      <c r="V74" s="146"/>
      <c r="W74" s="146"/>
      <c r="X74" s="277"/>
      <c r="Y74" s="277"/>
      <c r="Z74" s="277"/>
      <c r="AA74" s="277"/>
      <c r="AB74" s="277"/>
      <c r="AC74" s="277"/>
      <c r="AD74" s="146"/>
      <c r="AE74" s="146"/>
      <c r="AF74" s="146"/>
      <c r="AG74" s="146"/>
      <c r="AH74" s="146"/>
    </row>
    <row r="75" spans="2:34">
      <c r="B75" s="145"/>
      <c r="C75" s="145"/>
      <c r="D75" s="275"/>
      <c r="E75" s="276"/>
      <c r="F75" s="275"/>
      <c r="G75" s="145"/>
      <c r="H75" s="145"/>
      <c r="I75" s="145"/>
      <c r="J75" s="145"/>
      <c r="K75" s="145"/>
      <c r="L75" s="145"/>
      <c r="M75" s="145"/>
      <c r="N75" s="145"/>
      <c r="O75" s="145"/>
      <c r="P75" s="145"/>
      <c r="Q75" s="145"/>
      <c r="S75" s="146"/>
      <c r="T75" s="146"/>
      <c r="U75" s="146"/>
      <c r="V75" s="146"/>
      <c r="W75" s="146"/>
      <c r="X75" s="277"/>
      <c r="Y75" s="277"/>
      <c r="Z75" s="277"/>
      <c r="AA75" s="277"/>
      <c r="AB75" s="277"/>
      <c r="AC75" s="277"/>
      <c r="AD75" s="146"/>
      <c r="AE75" s="146"/>
      <c r="AF75" s="146"/>
      <c r="AG75" s="146"/>
      <c r="AH75" s="146"/>
    </row>
    <row r="76" spans="2:34">
      <c r="B76" s="145"/>
      <c r="C76" s="145"/>
      <c r="D76" s="275"/>
      <c r="E76" s="276"/>
      <c r="F76" s="275"/>
      <c r="G76" s="145"/>
      <c r="H76" s="145"/>
      <c r="I76" s="145"/>
      <c r="J76" s="145"/>
      <c r="K76" s="145"/>
      <c r="L76" s="145"/>
      <c r="M76" s="145"/>
      <c r="N76" s="145"/>
      <c r="O76" s="145"/>
      <c r="P76" s="145"/>
      <c r="Q76" s="145"/>
      <c r="S76" s="146"/>
      <c r="T76" s="146"/>
      <c r="U76" s="146"/>
      <c r="V76" s="146"/>
      <c r="W76" s="146"/>
      <c r="X76" s="277"/>
      <c r="Y76" s="277"/>
      <c r="Z76" s="277"/>
      <c r="AA76" s="277"/>
      <c r="AB76" s="277"/>
      <c r="AC76" s="277"/>
      <c r="AD76" s="146"/>
      <c r="AE76" s="146"/>
      <c r="AF76" s="146"/>
      <c r="AG76" s="146"/>
      <c r="AH76" s="146"/>
    </row>
    <row r="77" spans="2:34">
      <c r="B77" s="145"/>
      <c r="C77" s="145"/>
      <c r="D77" s="275"/>
      <c r="E77" s="276"/>
      <c r="F77" s="275"/>
      <c r="G77" s="145"/>
      <c r="H77" s="145"/>
      <c r="I77" s="145"/>
      <c r="J77" s="145"/>
      <c r="K77" s="145"/>
      <c r="L77" s="145"/>
      <c r="M77" s="145"/>
      <c r="N77" s="145"/>
      <c r="O77" s="145"/>
      <c r="P77" s="145"/>
      <c r="Q77" s="145"/>
      <c r="S77" s="146"/>
      <c r="T77" s="146"/>
      <c r="U77" s="146"/>
      <c r="V77" s="146"/>
      <c r="W77" s="146"/>
      <c r="X77" s="277"/>
      <c r="Y77" s="277"/>
      <c r="Z77" s="277"/>
      <c r="AA77" s="277"/>
      <c r="AB77" s="277"/>
      <c r="AC77" s="277"/>
      <c r="AD77" s="146"/>
      <c r="AE77" s="146"/>
      <c r="AF77" s="146"/>
      <c r="AG77" s="146"/>
      <c r="AH77" s="146"/>
    </row>
    <row r="78" spans="2:34">
      <c r="B78" s="145"/>
      <c r="C78" s="145"/>
      <c r="D78" s="275"/>
      <c r="E78" s="276"/>
      <c r="F78" s="275"/>
      <c r="G78" s="145"/>
      <c r="H78" s="145"/>
      <c r="I78" s="145"/>
      <c r="J78" s="145"/>
      <c r="K78" s="145"/>
      <c r="L78" s="145"/>
      <c r="M78" s="145"/>
      <c r="N78" s="145"/>
      <c r="O78" s="145"/>
      <c r="P78" s="145"/>
      <c r="Q78" s="145"/>
      <c r="S78" s="146"/>
      <c r="T78" s="146"/>
      <c r="U78" s="146"/>
      <c r="V78" s="146"/>
      <c r="W78" s="146"/>
      <c r="X78" s="277"/>
      <c r="Y78" s="277"/>
      <c r="Z78" s="277"/>
      <c r="AA78" s="277"/>
      <c r="AB78" s="277"/>
      <c r="AC78" s="277"/>
      <c r="AD78" s="146"/>
      <c r="AE78" s="146"/>
      <c r="AF78" s="146"/>
      <c r="AG78" s="146"/>
      <c r="AH78" s="146"/>
    </row>
    <row r="79" spans="2:34">
      <c r="B79" s="145"/>
      <c r="C79" s="145"/>
      <c r="D79" s="275"/>
      <c r="E79" s="276"/>
      <c r="F79" s="275"/>
      <c r="G79" s="145"/>
      <c r="H79" s="145"/>
      <c r="I79" s="145"/>
      <c r="J79" s="145"/>
      <c r="K79" s="145"/>
      <c r="L79" s="145"/>
      <c r="M79" s="145"/>
      <c r="N79" s="145"/>
      <c r="O79" s="145"/>
      <c r="P79" s="145"/>
      <c r="Q79" s="145"/>
      <c r="S79" s="146"/>
      <c r="T79" s="146"/>
      <c r="U79" s="146"/>
      <c r="V79" s="146"/>
      <c r="W79" s="146"/>
      <c r="X79" s="277"/>
      <c r="Y79" s="277"/>
      <c r="Z79" s="277"/>
      <c r="AA79" s="277"/>
      <c r="AB79" s="277"/>
      <c r="AC79" s="277"/>
      <c r="AD79" s="146"/>
      <c r="AE79" s="146"/>
      <c r="AF79" s="146"/>
      <c r="AG79" s="146"/>
      <c r="AH79" s="146"/>
    </row>
    <row r="80" spans="2:34">
      <c r="B80" s="145"/>
      <c r="C80" s="145"/>
      <c r="D80" s="275"/>
      <c r="E80" s="276"/>
      <c r="F80" s="275"/>
      <c r="G80" s="145"/>
      <c r="H80" s="145"/>
      <c r="I80" s="145"/>
      <c r="J80" s="145"/>
      <c r="K80" s="145"/>
      <c r="L80" s="145"/>
      <c r="M80" s="145"/>
      <c r="N80" s="145"/>
      <c r="O80" s="145"/>
      <c r="P80" s="145"/>
      <c r="Q80" s="145"/>
      <c r="S80" s="146"/>
      <c r="T80" s="146"/>
      <c r="U80" s="146"/>
      <c r="V80" s="146"/>
      <c r="W80" s="146"/>
      <c r="X80" s="277"/>
      <c r="Y80" s="277"/>
      <c r="Z80" s="277"/>
      <c r="AA80" s="277"/>
      <c r="AB80" s="277"/>
      <c r="AC80" s="277"/>
      <c r="AD80" s="146"/>
      <c r="AE80" s="146"/>
      <c r="AF80" s="146"/>
      <c r="AG80" s="146"/>
      <c r="AH80" s="146"/>
    </row>
    <row r="81" spans="2:34">
      <c r="B81" s="145"/>
      <c r="C81" s="145"/>
      <c r="D81" s="275"/>
      <c r="E81" s="276"/>
      <c r="F81" s="275"/>
      <c r="G81" s="145"/>
      <c r="H81" s="145"/>
      <c r="I81" s="145"/>
      <c r="J81" s="145"/>
      <c r="K81" s="145"/>
      <c r="L81" s="145"/>
      <c r="M81" s="145"/>
      <c r="N81" s="145"/>
      <c r="O81" s="145"/>
      <c r="P81" s="145"/>
      <c r="Q81" s="145"/>
      <c r="S81" s="146"/>
      <c r="T81" s="146"/>
      <c r="U81" s="146"/>
      <c r="V81" s="146"/>
      <c r="W81" s="146"/>
      <c r="X81" s="277"/>
      <c r="Y81" s="277"/>
      <c r="Z81" s="277"/>
      <c r="AA81" s="277"/>
      <c r="AB81" s="277"/>
      <c r="AC81" s="277"/>
      <c r="AD81" s="146"/>
      <c r="AE81" s="146"/>
      <c r="AF81" s="146"/>
      <c r="AG81" s="146"/>
      <c r="AH81" s="146"/>
    </row>
    <row r="82" spans="2:34">
      <c r="B82" s="145"/>
      <c r="C82" s="145"/>
      <c r="D82" s="275"/>
      <c r="E82" s="276"/>
      <c r="F82" s="275"/>
      <c r="G82" s="145"/>
      <c r="H82" s="145"/>
      <c r="I82" s="145"/>
      <c r="J82" s="145"/>
      <c r="K82" s="145"/>
      <c r="L82" s="145"/>
      <c r="M82" s="145"/>
      <c r="N82" s="145"/>
      <c r="O82" s="145"/>
      <c r="P82" s="145"/>
      <c r="Q82" s="145"/>
      <c r="S82" s="146"/>
      <c r="T82" s="146"/>
      <c r="U82" s="146"/>
      <c r="V82" s="146"/>
      <c r="W82" s="146"/>
      <c r="X82" s="277"/>
      <c r="Y82" s="277"/>
      <c r="Z82" s="277"/>
      <c r="AA82" s="277"/>
      <c r="AB82" s="277"/>
      <c r="AC82" s="277"/>
      <c r="AD82" s="146"/>
      <c r="AE82" s="146"/>
      <c r="AF82" s="146"/>
      <c r="AG82" s="146"/>
      <c r="AH82" s="146"/>
    </row>
    <row r="83" spans="2:34">
      <c r="B83" s="145"/>
      <c r="C83" s="145"/>
      <c r="D83" s="275"/>
      <c r="E83" s="276"/>
      <c r="F83" s="275"/>
      <c r="G83" s="145"/>
      <c r="H83" s="145"/>
      <c r="I83" s="145"/>
      <c r="J83" s="145"/>
      <c r="K83" s="145"/>
      <c r="L83" s="145"/>
      <c r="M83" s="145"/>
      <c r="N83" s="145"/>
      <c r="O83" s="145"/>
      <c r="P83" s="145"/>
      <c r="Q83" s="145"/>
      <c r="S83" s="146"/>
      <c r="T83" s="146"/>
      <c r="U83" s="146"/>
      <c r="V83" s="146"/>
      <c r="W83" s="146"/>
      <c r="X83" s="277"/>
      <c r="Y83" s="277"/>
      <c r="Z83" s="277"/>
      <c r="AA83" s="277"/>
      <c r="AB83" s="277"/>
      <c r="AC83" s="277"/>
      <c r="AD83" s="146"/>
      <c r="AE83" s="146"/>
      <c r="AF83" s="146"/>
      <c r="AG83" s="146"/>
      <c r="AH83" s="146"/>
    </row>
    <row r="84" spans="2:34">
      <c r="B84" s="145"/>
      <c r="C84" s="145"/>
      <c r="D84" s="275"/>
      <c r="E84" s="276"/>
      <c r="F84" s="275"/>
      <c r="G84" s="145"/>
      <c r="H84" s="145"/>
      <c r="I84" s="145"/>
      <c r="J84" s="145"/>
      <c r="K84" s="145"/>
      <c r="L84" s="145"/>
      <c r="M84" s="145"/>
      <c r="N84" s="145"/>
      <c r="O84" s="145"/>
      <c r="P84" s="145"/>
      <c r="Q84" s="145"/>
      <c r="S84" s="146"/>
      <c r="T84" s="146"/>
      <c r="U84" s="146"/>
      <c r="V84" s="146"/>
      <c r="W84" s="146"/>
      <c r="X84" s="277"/>
      <c r="Y84" s="277"/>
      <c r="Z84" s="277"/>
      <c r="AA84" s="277"/>
      <c r="AB84" s="277"/>
      <c r="AC84" s="277"/>
      <c r="AD84" s="146"/>
      <c r="AE84" s="146"/>
      <c r="AF84" s="146"/>
      <c r="AG84" s="146"/>
      <c r="AH84" s="146"/>
    </row>
    <row r="85" spans="2:34">
      <c r="B85" s="145"/>
      <c r="C85" s="145"/>
      <c r="D85" s="275"/>
      <c r="E85" s="276"/>
      <c r="F85" s="275"/>
      <c r="G85" s="145"/>
      <c r="H85" s="145"/>
      <c r="I85" s="145"/>
      <c r="J85" s="145"/>
      <c r="K85" s="145"/>
      <c r="L85" s="145"/>
      <c r="M85" s="145"/>
      <c r="N85" s="145"/>
      <c r="O85" s="145"/>
      <c r="P85" s="145"/>
      <c r="Q85" s="145"/>
      <c r="S85" s="146"/>
      <c r="T85" s="146"/>
      <c r="U85" s="146"/>
      <c r="V85" s="146"/>
      <c r="W85" s="146"/>
      <c r="X85" s="277"/>
      <c r="Y85" s="277"/>
      <c r="Z85" s="277"/>
      <c r="AA85" s="277"/>
      <c r="AB85" s="277"/>
      <c r="AC85" s="277"/>
      <c r="AD85" s="146"/>
      <c r="AE85" s="146"/>
      <c r="AF85" s="146"/>
      <c r="AG85" s="146"/>
      <c r="AH85" s="146"/>
    </row>
    <row r="86" spans="2:34">
      <c r="B86" s="145"/>
      <c r="C86" s="145"/>
      <c r="D86" s="275"/>
      <c r="E86" s="276"/>
      <c r="F86" s="275"/>
      <c r="G86" s="145"/>
      <c r="H86" s="145"/>
      <c r="I86" s="145"/>
      <c r="J86" s="145"/>
      <c r="K86" s="145"/>
      <c r="L86" s="145"/>
      <c r="M86" s="145"/>
      <c r="N86" s="145"/>
      <c r="O86" s="145"/>
      <c r="P86" s="145"/>
      <c r="Q86" s="145"/>
      <c r="S86" s="146"/>
      <c r="T86" s="146"/>
      <c r="U86" s="146"/>
      <c r="V86" s="146"/>
      <c r="W86" s="146"/>
      <c r="X86" s="277"/>
      <c r="Y86" s="277"/>
      <c r="Z86" s="277"/>
      <c r="AA86" s="277"/>
      <c r="AB86" s="277"/>
      <c r="AC86" s="277"/>
      <c r="AD86" s="146"/>
      <c r="AE86" s="146"/>
      <c r="AF86" s="146"/>
      <c r="AG86" s="146"/>
      <c r="AH86" s="146"/>
    </row>
    <row r="87" spans="2:34">
      <c r="B87" s="145"/>
      <c r="C87" s="145"/>
      <c r="D87" s="275"/>
      <c r="E87" s="276"/>
      <c r="F87" s="275"/>
      <c r="G87" s="145"/>
      <c r="H87" s="145"/>
      <c r="I87" s="145"/>
      <c r="J87" s="145"/>
      <c r="K87" s="145"/>
      <c r="L87" s="145"/>
      <c r="M87" s="145"/>
      <c r="N87" s="145"/>
      <c r="O87" s="145"/>
      <c r="P87" s="145"/>
      <c r="Q87" s="145"/>
      <c r="S87" s="146"/>
      <c r="T87" s="146"/>
      <c r="U87" s="146"/>
      <c r="V87" s="146"/>
      <c r="W87" s="278"/>
      <c r="X87" s="277"/>
      <c r="Y87" s="277"/>
      <c r="Z87" s="277"/>
      <c r="AA87" s="277"/>
      <c r="AB87" s="277"/>
      <c r="AC87" s="277"/>
      <c r="AD87" s="146"/>
      <c r="AE87" s="146"/>
      <c r="AF87" s="146"/>
      <c r="AG87" s="146"/>
      <c r="AH87" s="146"/>
    </row>
    <row r="88" spans="2:34">
      <c r="B88" s="145"/>
      <c r="C88" s="145"/>
      <c r="D88" s="275"/>
      <c r="E88" s="276"/>
      <c r="F88" s="275"/>
      <c r="G88" s="145"/>
      <c r="H88" s="145"/>
      <c r="I88" s="145"/>
      <c r="J88" s="145"/>
      <c r="K88" s="145"/>
      <c r="L88" s="145"/>
      <c r="M88" s="145"/>
      <c r="N88" s="145"/>
      <c r="O88" s="145"/>
      <c r="P88" s="145"/>
      <c r="Q88" s="145"/>
      <c r="S88" s="146"/>
      <c r="T88" s="146"/>
      <c r="U88" s="146"/>
      <c r="V88" s="146"/>
      <c r="W88" s="278"/>
      <c r="X88" s="277"/>
      <c r="Y88" s="277"/>
      <c r="Z88" s="277"/>
      <c r="AA88" s="277"/>
      <c r="AB88" s="277"/>
      <c r="AC88" s="277"/>
      <c r="AD88" s="146"/>
      <c r="AE88" s="146"/>
      <c r="AF88" s="146"/>
      <c r="AG88" s="146"/>
      <c r="AH88" s="146"/>
    </row>
    <row r="89" spans="2:34">
      <c r="B89" s="145"/>
      <c r="C89" s="145"/>
      <c r="D89" s="275"/>
      <c r="E89" s="276"/>
      <c r="F89" s="275"/>
      <c r="G89" s="145"/>
      <c r="H89" s="145"/>
      <c r="I89" s="145"/>
      <c r="J89" s="145"/>
      <c r="K89" s="145"/>
      <c r="L89" s="145"/>
      <c r="M89" s="145"/>
      <c r="N89" s="145"/>
      <c r="O89" s="145"/>
      <c r="P89" s="145"/>
      <c r="Q89" s="145"/>
      <c r="S89" s="146"/>
      <c r="T89" s="146"/>
      <c r="U89" s="146"/>
      <c r="V89" s="146"/>
      <c r="W89" s="278"/>
      <c r="X89" s="277"/>
      <c r="Y89" s="277"/>
      <c r="Z89" s="277"/>
      <c r="AA89" s="277"/>
      <c r="AB89" s="277"/>
      <c r="AC89" s="277"/>
      <c r="AD89" s="146"/>
      <c r="AE89" s="146"/>
      <c r="AF89" s="146"/>
      <c r="AG89" s="146"/>
      <c r="AH89" s="146"/>
    </row>
    <row r="90" spans="2:34">
      <c r="B90" s="145"/>
      <c r="C90" s="145"/>
      <c r="D90" s="275"/>
      <c r="E90" s="276"/>
      <c r="F90" s="275"/>
      <c r="G90" s="145"/>
      <c r="H90" s="145"/>
      <c r="I90" s="145"/>
      <c r="J90" s="145"/>
      <c r="K90" s="145"/>
      <c r="L90" s="145"/>
      <c r="M90" s="145"/>
      <c r="N90" s="145"/>
      <c r="O90" s="145"/>
      <c r="P90" s="145"/>
      <c r="Q90" s="145"/>
      <c r="S90" s="146"/>
      <c r="T90" s="146"/>
      <c r="U90" s="146"/>
      <c r="V90" s="146"/>
      <c r="W90" s="278"/>
      <c r="X90" s="277"/>
      <c r="Y90" s="277"/>
      <c r="Z90" s="277"/>
      <c r="AA90" s="277"/>
      <c r="AB90" s="277"/>
      <c r="AC90" s="277"/>
      <c r="AD90" s="146"/>
      <c r="AE90" s="146"/>
      <c r="AF90" s="146"/>
      <c r="AG90" s="146"/>
      <c r="AH90" s="146"/>
    </row>
    <row r="91" spans="2:34" ht="18.75">
      <c r="B91" s="145"/>
      <c r="C91" s="977" t="s">
        <v>422</v>
      </c>
      <c r="D91" s="977"/>
      <c r="E91" s="282"/>
      <c r="F91" s="983" t="s">
        <v>423</v>
      </c>
      <c r="G91" s="984"/>
      <c r="H91" s="145"/>
      <c r="I91" s="983" t="s">
        <v>424</v>
      </c>
      <c r="J91" s="984"/>
      <c r="K91" s="282"/>
      <c r="L91" s="983" t="s">
        <v>425</v>
      </c>
      <c r="M91" s="984"/>
      <c r="N91" s="282"/>
      <c r="O91" s="983" t="s">
        <v>426</v>
      </c>
      <c r="P91" s="984"/>
      <c r="Q91" s="145"/>
      <c r="S91" s="146"/>
      <c r="T91" s="963" t="s">
        <v>427</v>
      </c>
      <c r="U91" s="963"/>
      <c r="V91" s="279"/>
      <c r="W91" s="981" t="s">
        <v>428</v>
      </c>
      <c r="X91" s="982"/>
      <c r="Y91" s="146"/>
      <c r="Z91" s="981" t="s">
        <v>429</v>
      </c>
      <c r="AA91" s="982"/>
      <c r="AB91" s="279"/>
      <c r="AC91" s="981" t="s">
        <v>430</v>
      </c>
      <c r="AD91" s="982"/>
      <c r="AE91" s="279"/>
      <c r="AF91" s="981" t="s">
        <v>431</v>
      </c>
      <c r="AG91" s="982"/>
      <c r="AH91" s="146"/>
    </row>
    <row r="92" spans="2:34">
      <c r="B92" s="145"/>
      <c r="C92" s="977" t="s">
        <v>279</v>
      </c>
      <c r="D92" s="977"/>
      <c r="E92" s="282"/>
      <c r="F92" s="977" t="s">
        <v>279</v>
      </c>
      <c r="G92" s="977"/>
      <c r="H92" s="145"/>
      <c r="I92" s="977" t="s">
        <v>279</v>
      </c>
      <c r="J92" s="977"/>
      <c r="K92" s="282"/>
      <c r="L92" s="977" t="s">
        <v>279</v>
      </c>
      <c r="M92" s="977"/>
      <c r="N92" s="282"/>
      <c r="O92" s="977" t="s">
        <v>279</v>
      </c>
      <c r="P92" s="977"/>
      <c r="Q92" s="145"/>
      <c r="S92" s="146"/>
      <c r="T92" s="963" t="s">
        <v>280</v>
      </c>
      <c r="U92" s="963"/>
      <c r="V92" s="279"/>
      <c r="W92" s="963" t="s">
        <v>280</v>
      </c>
      <c r="X92" s="963"/>
      <c r="Y92" s="146"/>
      <c r="Z92" s="963" t="s">
        <v>280</v>
      </c>
      <c r="AA92" s="963"/>
      <c r="AB92" s="279"/>
      <c r="AC92" s="963" t="s">
        <v>280</v>
      </c>
      <c r="AD92" s="963"/>
      <c r="AE92" s="279"/>
      <c r="AF92" s="963" t="s">
        <v>280</v>
      </c>
      <c r="AG92" s="963"/>
      <c r="AH92" s="146"/>
    </row>
    <row r="93" spans="2:34">
      <c r="B93" s="145"/>
      <c r="C93" s="283" t="s">
        <v>333</v>
      </c>
      <c r="D93" s="283" t="s">
        <v>3</v>
      </c>
      <c r="E93" s="284"/>
      <c r="F93" s="283" t="s">
        <v>333</v>
      </c>
      <c r="G93" s="283" t="s">
        <v>3</v>
      </c>
      <c r="H93" s="145"/>
      <c r="I93" s="283" t="s">
        <v>333</v>
      </c>
      <c r="J93" s="283" t="s">
        <v>3</v>
      </c>
      <c r="K93" s="284"/>
      <c r="L93" s="283" t="s">
        <v>333</v>
      </c>
      <c r="M93" s="283" t="s">
        <v>3</v>
      </c>
      <c r="N93" s="284"/>
      <c r="O93" s="283" t="s">
        <v>333</v>
      </c>
      <c r="P93" s="283" t="s">
        <v>3</v>
      </c>
      <c r="Q93" s="145"/>
      <c r="S93" s="146"/>
      <c r="T93" s="280" t="s">
        <v>333</v>
      </c>
      <c r="U93" s="280" t="s">
        <v>3</v>
      </c>
      <c r="V93" s="281"/>
      <c r="W93" s="280" t="s">
        <v>333</v>
      </c>
      <c r="X93" s="280" t="s">
        <v>3</v>
      </c>
      <c r="Y93" s="146"/>
      <c r="Z93" s="280" t="s">
        <v>333</v>
      </c>
      <c r="AA93" s="280" t="s">
        <v>3</v>
      </c>
      <c r="AB93" s="281"/>
      <c r="AC93" s="280" t="s">
        <v>333</v>
      </c>
      <c r="AD93" s="280" t="s">
        <v>3</v>
      </c>
      <c r="AE93" s="281"/>
      <c r="AF93" s="280" t="s">
        <v>333</v>
      </c>
      <c r="AG93" s="280" t="s">
        <v>3</v>
      </c>
      <c r="AH93" s="146"/>
    </row>
    <row r="94" spans="2:34">
      <c r="B94" s="145"/>
      <c r="C94" s="296">
        <v>0</v>
      </c>
      <c r="D94" s="296">
        <f>IF(C94&lt;=B.2!$G$35,B.2!$H$35,IF(AND(C94&lt;=B.2!$G$34,C94&gt;B.2!$G$35),0+((B.2!$H$35-B.2!$H$34)/(B.2!$G$35-B.2!$G$34))*(C94-B.2!$G$34),0))</f>
        <v>25</v>
      </c>
      <c r="E94" s="419"/>
      <c r="F94" s="296">
        <v>0</v>
      </c>
      <c r="G94" s="296">
        <f>IF(F94&lt;=B.2!$G$37,B.2!$H$37,IF(AND(F94&lt;=B.2!$G$36,F94&gt;B.2!$G$37),0+((B.2!$H$37-B.2!$H$36)/(B.2!$G$37-B.2!$G$36))*(F94-B.2!$G$36),0))</f>
        <v>40</v>
      </c>
      <c r="H94" s="276"/>
      <c r="I94" s="296">
        <v>0</v>
      </c>
      <c r="J94" s="296">
        <f>IF(I94&lt;=B.2!$G$39,B.2!$H$39,IF(AND(I94&lt;=B.2!$G$38,I94&gt;B.2!$G$39),0+((B.2!$H$39-B.2!$H$38)/(B.2!$G$39-B.2!$G$38))*(I94-B.2!$G$38),0))</f>
        <v>30</v>
      </c>
      <c r="K94" s="419"/>
      <c r="L94" s="296">
        <v>0</v>
      </c>
      <c r="M94" s="296">
        <f>IF(L94&lt;=B.2!$G$41,B.2!$H$41,IF(AND(L94&lt;=B.2!$G$40,L94&gt;B.2!$G$41),0+((B.2!$H$41-B.2!$H$40)/(B.2!$G$41-B.2!$G$40))*(L94-B.2!$G$40),0))</f>
        <v>120</v>
      </c>
      <c r="N94" s="419"/>
      <c r="O94" s="296">
        <v>0</v>
      </c>
      <c r="P94" s="296">
        <f>IF(O94&lt;=B.2!$G$43,B.2!$H$43,IF(AND(O94&lt;=B.2!$G$42,O94&gt;B.2!$G$43),0+((B.2!$H$43-B.2!$H$42)/(B.2!$G$43-B.2!$G$42))*(O94-B.2!$G$42),0))</f>
        <v>135</v>
      </c>
      <c r="Q94" s="276"/>
      <c r="R94" s="295"/>
      <c r="S94" s="420"/>
      <c r="T94" s="297">
        <v>0</v>
      </c>
      <c r="U94" s="297">
        <f>IF(T94&lt;=B.2!$L$35,B.2!$M$35,IF(AND(T94&lt;=B.2!$L$34,T94&gt;B.2!$L$35),0+((B.2!$M$35-B.2!$M$34)/(B.2!$L$35-B.2!$L$34))*(T94-B.2!$L$34),0))</f>
        <v>25</v>
      </c>
      <c r="V94" s="421"/>
      <c r="W94" s="297">
        <v>0</v>
      </c>
      <c r="X94" s="297">
        <f>IF(W94&lt;=B.2!$L$37,B.2!$M$37,IF(AND(W94&lt;=B.2!$L$36,W94&gt;B.2!$L$37),0+((B.2!$M$37-B.2!$M$36)/(B.2!$L$37-B.2!$L$36))*(W94-B.2!$L$36),0))</f>
        <v>40</v>
      </c>
      <c r="Y94" s="420"/>
      <c r="Z94" s="297">
        <v>0</v>
      </c>
      <c r="AA94" s="297">
        <f>IF(Z94&lt;=B.2!$L$39,B.2!$M$39,IF(AND(Z94&lt;=B.2!$L$38,Z94&gt;B.2!$L$39),0+((B.2!$M$39-B.2!$M$38)/(B.2!$L$39-B.2!$L$38))*(Z94-B.2!$L$38),0))</f>
        <v>30</v>
      </c>
      <c r="AB94" s="421"/>
      <c r="AC94" s="297">
        <v>0</v>
      </c>
      <c r="AD94" s="297">
        <f>IF(AC94&lt;=B.2!$L$41,B.2!$M$41,IF(AND(AC94&lt;=B.2!$L$40,AC94&gt;B.2!$L$41),0+((B.2!$M$41-B.2!$M$40)/(B.2!$L$41-B.2!$L$40))*(AC94-B.2!$L$40),0))</f>
        <v>120</v>
      </c>
      <c r="AE94" s="421"/>
      <c r="AF94" s="297">
        <v>0</v>
      </c>
      <c r="AG94" s="297">
        <f>IF(AF94&lt;=B.2!$L$43,B.2!$M$43,IF(AND(AF94&lt;=B.2!$L$42,AF94&gt;B.2!$L$43),0+((B.2!$M$43-B.2!$M$42)/(B.2!$L$43-B.2!$L$42))*(AF94-B.2!$L$42),0))</f>
        <v>135</v>
      </c>
      <c r="AH94" s="146"/>
    </row>
    <row r="95" spans="2:34">
      <c r="B95" s="145"/>
      <c r="C95" s="296">
        <v>1</v>
      </c>
      <c r="D95" s="296">
        <f>IF(C95&lt;=B.2!$G$35,B.2!$H$35,IF(AND(C95&lt;=B.2!$G$34,C95&gt;B.2!$G$35),0+((B.2!$H$35-B.2!$H$34)/(B.2!$G$35-B.2!$G$34))*(C95-B.2!$G$34),0))</f>
        <v>25</v>
      </c>
      <c r="E95" s="419"/>
      <c r="F95" s="296">
        <v>1</v>
      </c>
      <c r="G95" s="296">
        <f>IF(F95&lt;=B.2!$G$37,B.2!$H$37,IF(AND(F95&lt;=B.2!$G$36,F95&gt;B.2!$G$37),0+((B.2!$H$37-B.2!$H$36)/(B.2!$G$37-B.2!$G$36))*(F95-B.2!$G$36),0))</f>
        <v>40</v>
      </c>
      <c r="H95" s="276"/>
      <c r="I95" s="296">
        <v>1</v>
      </c>
      <c r="J95" s="296">
        <f>IF(I95&lt;=B.2!$G$39,B.2!$H$39,IF(AND(I95&lt;=B.2!$G$38,I95&gt;B.2!$G$39),0+((B.2!$H$39-B.2!$H$38)/(B.2!$G$39-B.2!$G$38))*(I95-B.2!$G$38),0))</f>
        <v>30</v>
      </c>
      <c r="K95" s="419"/>
      <c r="L95" s="296">
        <v>1</v>
      </c>
      <c r="M95" s="296">
        <f>IF(L95&lt;=B.2!$G$41,B.2!$H$41,IF(AND(L95&lt;=B.2!$G$40,L95&gt;B.2!$G$41),0+((B.2!$H$41-B.2!$H$40)/(B.2!$G$41-B.2!$G$40))*(L95-B.2!$G$40),0))</f>
        <v>120</v>
      </c>
      <c r="N95" s="419"/>
      <c r="O95" s="296">
        <v>1</v>
      </c>
      <c r="P95" s="296">
        <f>IF(O95&lt;=B.2!$G$43,B.2!$H$43,IF(AND(O95&lt;=B.2!$G$42,O95&gt;B.2!$G$43),0+((B.2!$H$43-B.2!$H$42)/(B.2!$G$43-B.2!$G$42))*(O95-B.2!$G$42),0))</f>
        <v>127.5</v>
      </c>
      <c r="Q95" s="276"/>
      <c r="R95" s="295"/>
      <c r="S95" s="420"/>
      <c r="T95" s="297">
        <v>1</v>
      </c>
      <c r="U95" s="297">
        <f>IF(T95&lt;=B.2!$L$35,B.2!$M$35,IF(AND(T95&lt;=B.2!$L$34,T95&gt;B.2!$L$35),0+((B.2!$M$35-B.2!$M$34)/(B.2!$L$35-B.2!$L$34))*(T95-B.2!$L$34),0))</f>
        <v>25</v>
      </c>
      <c r="V95" s="421"/>
      <c r="W95" s="297">
        <v>1</v>
      </c>
      <c r="X95" s="297">
        <f>IF(W95&lt;=B.2!$L$37,B.2!$M$37,IF(AND(W95&lt;=B.2!$L$36,W95&gt;B.2!$L$37),0+((B.2!$M$37-B.2!$M$36)/(B.2!$L$37-B.2!$L$36))*(W95-B.2!$L$36),0))</f>
        <v>40</v>
      </c>
      <c r="Y95" s="420"/>
      <c r="Z95" s="297">
        <v>1</v>
      </c>
      <c r="AA95" s="297">
        <f>IF(Z95&lt;=B.2!$L$39,B.2!$M$39,IF(AND(Z95&lt;=B.2!$L$38,Z95&gt;B.2!$L$39),0+((B.2!$M$39-B.2!$M$38)/(B.2!$L$39-B.2!$L$38))*(Z95-B.2!$L$38),0))</f>
        <v>30</v>
      </c>
      <c r="AB95" s="421"/>
      <c r="AC95" s="297">
        <v>1</v>
      </c>
      <c r="AD95" s="297">
        <f>IF(AC95&lt;=B.2!$L$41,B.2!$M$41,IF(AND(AC95&lt;=B.2!$L$40,AC95&gt;B.2!$L$41),0+((B.2!$M$41-B.2!$M$40)/(B.2!$L$41-B.2!$L$40))*(AC95-B.2!$L$40),0))</f>
        <v>120</v>
      </c>
      <c r="AE95" s="421"/>
      <c r="AF95" s="297">
        <v>1</v>
      </c>
      <c r="AG95" s="297">
        <f>IF(AF95&lt;=B.2!$L$43,B.2!$M$43,IF(AND(AF95&lt;=B.2!$L$42,AF95&gt;B.2!$L$43),0+((B.2!$M$43-B.2!$M$42)/(B.2!$L$43-B.2!$L$42))*(AF95-B.2!$L$42),0))</f>
        <v>129.375</v>
      </c>
      <c r="AH95" s="146"/>
    </row>
    <row r="96" spans="2:34">
      <c r="B96" s="145"/>
      <c r="C96" s="296">
        <v>2</v>
      </c>
      <c r="D96" s="296">
        <f>IF(C96&lt;=B.2!$G$35,B.2!$H$35,IF(AND(C96&lt;=B.2!$G$34,C96&gt;B.2!$G$35),0+((B.2!$H$35-B.2!$H$34)/(B.2!$G$35-B.2!$G$34))*(C96-B.2!$G$34),0))</f>
        <v>25</v>
      </c>
      <c r="E96" s="419"/>
      <c r="F96" s="296">
        <v>2</v>
      </c>
      <c r="G96" s="296">
        <f>IF(F96&lt;=B.2!$G$37,B.2!$H$37,IF(AND(F96&lt;=B.2!$G$36,F96&gt;B.2!$G$37),0+((B.2!$H$37-B.2!$H$36)/(B.2!$G$37-B.2!$G$36))*(F96-B.2!$G$36),0))</f>
        <v>40</v>
      </c>
      <c r="H96" s="276"/>
      <c r="I96" s="296">
        <v>2</v>
      </c>
      <c r="J96" s="296">
        <f>IF(I96&lt;=B.2!$G$39,B.2!$H$39,IF(AND(I96&lt;=B.2!$G$38,I96&gt;B.2!$G$39),0+((B.2!$H$39-B.2!$H$38)/(B.2!$G$39-B.2!$G$38))*(I96-B.2!$G$38),0))</f>
        <v>30</v>
      </c>
      <c r="K96" s="419"/>
      <c r="L96" s="296">
        <v>2</v>
      </c>
      <c r="M96" s="296">
        <f>IF(L96&lt;=B.2!$G$41,B.2!$H$41,IF(AND(L96&lt;=B.2!$G$40,L96&gt;B.2!$G$41),0+((B.2!$H$41-B.2!$H$40)/(B.2!$G$41-B.2!$G$40))*(L96-B.2!$G$40),0))</f>
        <v>120</v>
      </c>
      <c r="N96" s="419"/>
      <c r="O96" s="296">
        <v>2</v>
      </c>
      <c r="P96" s="296">
        <f>IF(O96&lt;=B.2!$G$43,B.2!$H$43,IF(AND(O96&lt;=B.2!$G$42,O96&gt;B.2!$G$43),0+((B.2!$H$43-B.2!$H$42)/(B.2!$G$43-B.2!$G$42))*(O96-B.2!$G$42),0))</f>
        <v>120</v>
      </c>
      <c r="Q96" s="276"/>
      <c r="R96" s="295"/>
      <c r="S96" s="420"/>
      <c r="T96" s="297">
        <v>2</v>
      </c>
      <c r="U96" s="297">
        <f>IF(T96&lt;=B.2!$L$35,B.2!$M$35,IF(AND(T96&lt;=B.2!$L$34,T96&gt;B.2!$L$35),0+((B.2!$M$35-B.2!$M$34)/(B.2!$L$35-B.2!$L$34))*(T96-B.2!$L$34),0))</f>
        <v>25</v>
      </c>
      <c r="V96" s="421"/>
      <c r="W96" s="297">
        <v>2</v>
      </c>
      <c r="X96" s="297">
        <f>IF(W96&lt;=B.2!$L$37,B.2!$M$37,IF(AND(W96&lt;=B.2!$L$36,W96&gt;B.2!$L$37),0+((B.2!$M$37-B.2!$M$36)/(B.2!$L$37-B.2!$L$36))*(W96-B.2!$L$36),0))</f>
        <v>40</v>
      </c>
      <c r="Y96" s="420"/>
      <c r="Z96" s="297">
        <v>2</v>
      </c>
      <c r="AA96" s="297">
        <f>IF(Z96&lt;=B.2!$L$39,B.2!$M$39,IF(AND(Z96&lt;=B.2!$L$38,Z96&gt;B.2!$L$39),0+((B.2!$M$39-B.2!$M$38)/(B.2!$L$39-B.2!$L$38))*(Z96-B.2!$L$38),0))</f>
        <v>30</v>
      </c>
      <c r="AB96" s="421"/>
      <c r="AC96" s="297">
        <v>2</v>
      </c>
      <c r="AD96" s="297">
        <f>IF(AC96&lt;=B.2!$L$41,B.2!$M$41,IF(AND(AC96&lt;=B.2!$L$40,AC96&gt;B.2!$L$41),0+((B.2!$M$41-B.2!$M$40)/(B.2!$L$41-B.2!$L$40))*(AC96-B.2!$L$40),0))</f>
        <v>120</v>
      </c>
      <c r="AE96" s="421"/>
      <c r="AF96" s="297">
        <v>2</v>
      </c>
      <c r="AG96" s="297">
        <f>IF(AF96&lt;=B.2!$L$43,B.2!$M$43,IF(AND(AF96&lt;=B.2!$L$42,AF96&gt;B.2!$L$43),0+((B.2!$M$43-B.2!$M$42)/(B.2!$L$43-B.2!$L$42))*(AF96-B.2!$L$42),0))</f>
        <v>123.75</v>
      </c>
      <c r="AH96" s="146"/>
    </row>
    <row r="97" spans="2:34">
      <c r="B97" s="145"/>
      <c r="C97" s="296">
        <v>3</v>
      </c>
      <c r="D97" s="296">
        <f>IF(C97&lt;=B.2!$G$35,B.2!$H$35,IF(AND(C97&lt;=B.2!$G$34,C97&gt;B.2!$G$35),0+((B.2!$H$35-B.2!$H$34)/(B.2!$G$35-B.2!$G$34))*(C97-B.2!$G$34),0))</f>
        <v>25</v>
      </c>
      <c r="E97" s="419"/>
      <c r="F97" s="296">
        <v>3</v>
      </c>
      <c r="G97" s="296">
        <f>IF(F97&lt;=B.2!$G$37,B.2!$H$37,IF(AND(F97&lt;=B.2!$G$36,F97&gt;B.2!$G$37),0+((B.2!$H$37-B.2!$H$36)/(B.2!$G$37-B.2!$G$36))*(F97-B.2!$G$36),0))</f>
        <v>40</v>
      </c>
      <c r="H97" s="276"/>
      <c r="I97" s="296">
        <v>3</v>
      </c>
      <c r="J97" s="296">
        <f>IF(I97&lt;=B.2!$G$39,B.2!$H$39,IF(AND(I97&lt;=B.2!$G$38,I97&gt;B.2!$G$39),0+((B.2!$H$39-B.2!$H$38)/(B.2!$G$39-B.2!$G$38))*(I97-B.2!$G$38),0))</f>
        <v>30</v>
      </c>
      <c r="K97" s="419"/>
      <c r="L97" s="296">
        <v>3</v>
      </c>
      <c r="M97" s="296">
        <f>IF(L97&lt;=B.2!$G$41,B.2!$H$41,IF(AND(L97&lt;=B.2!$G$40,L97&gt;B.2!$G$41),0+((B.2!$H$41-B.2!$H$40)/(B.2!$G$41-B.2!$G$40))*(L97-B.2!$G$40),0))</f>
        <v>120</v>
      </c>
      <c r="N97" s="419"/>
      <c r="O97" s="296">
        <v>3</v>
      </c>
      <c r="P97" s="296">
        <f>IF(O97&lt;=B.2!$G$43,B.2!$H$43,IF(AND(O97&lt;=B.2!$G$42,O97&gt;B.2!$G$43),0+((B.2!$H$43-B.2!$H$42)/(B.2!$G$43-B.2!$G$42))*(O97-B.2!$G$42),0))</f>
        <v>112.5</v>
      </c>
      <c r="Q97" s="276"/>
      <c r="R97" s="295"/>
      <c r="S97" s="420"/>
      <c r="T97" s="297">
        <v>3</v>
      </c>
      <c r="U97" s="297">
        <f>IF(T97&lt;=B.2!$L$35,B.2!$M$35,IF(AND(T97&lt;=B.2!$L$34,T97&gt;B.2!$L$35),0+((B.2!$M$35-B.2!$M$34)/(B.2!$L$35-B.2!$L$34))*(T97-B.2!$L$34),0))</f>
        <v>25</v>
      </c>
      <c r="V97" s="421"/>
      <c r="W97" s="297">
        <v>3</v>
      </c>
      <c r="X97" s="297">
        <f>IF(W97&lt;=B.2!$L$37,B.2!$M$37,IF(AND(W97&lt;=B.2!$L$36,W97&gt;B.2!$L$37),0+((B.2!$M$37-B.2!$M$36)/(B.2!$L$37-B.2!$L$36))*(W97-B.2!$L$36),0))</f>
        <v>40</v>
      </c>
      <c r="Y97" s="420"/>
      <c r="Z97" s="297">
        <v>3</v>
      </c>
      <c r="AA97" s="297">
        <f>IF(Z97&lt;=B.2!$L$39,B.2!$M$39,IF(AND(Z97&lt;=B.2!$L$38,Z97&gt;B.2!$L$39),0+((B.2!$M$39-B.2!$M$38)/(B.2!$L$39-B.2!$L$38))*(Z97-B.2!$L$38),0))</f>
        <v>30</v>
      </c>
      <c r="AB97" s="421"/>
      <c r="AC97" s="297">
        <v>3</v>
      </c>
      <c r="AD97" s="297">
        <f>IF(AC97&lt;=B.2!$L$41,B.2!$M$41,IF(AND(AC97&lt;=B.2!$L$40,AC97&gt;B.2!$L$41),0+((B.2!$M$41-B.2!$M$40)/(B.2!$L$41-B.2!$L$40))*(AC97-B.2!$L$40),0))</f>
        <v>120</v>
      </c>
      <c r="AE97" s="421"/>
      <c r="AF97" s="297">
        <v>3</v>
      </c>
      <c r="AG97" s="297">
        <f>IF(AF97&lt;=B.2!$L$43,B.2!$M$43,IF(AND(AF97&lt;=B.2!$L$42,AF97&gt;B.2!$L$43),0+((B.2!$M$43-B.2!$M$42)/(B.2!$L$43-B.2!$L$42))*(AF97-B.2!$L$42),0))</f>
        <v>118.125</v>
      </c>
      <c r="AH97" s="146"/>
    </row>
    <row r="98" spans="2:34">
      <c r="B98" s="145"/>
      <c r="C98" s="296">
        <v>4</v>
      </c>
      <c r="D98" s="296">
        <f>IF(C98&lt;=B.2!$G$35,B.2!$H$35,IF(AND(C98&lt;=B.2!$G$34,C98&gt;B.2!$G$35),0+((B.2!$H$35-B.2!$H$34)/(B.2!$G$35-B.2!$G$34))*(C98-B.2!$G$34),0))</f>
        <v>25</v>
      </c>
      <c r="E98" s="419"/>
      <c r="F98" s="296">
        <v>4</v>
      </c>
      <c r="G98" s="296">
        <f>IF(F98&lt;=B.2!$G$37,B.2!$H$37,IF(AND(F98&lt;=B.2!$G$36,F98&gt;B.2!$G$37),0+((B.2!$H$37-B.2!$H$36)/(B.2!$G$37-B.2!$G$36))*(F98-B.2!$G$36),0))</f>
        <v>40</v>
      </c>
      <c r="H98" s="276"/>
      <c r="I98" s="296">
        <v>4</v>
      </c>
      <c r="J98" s="296">
        <f>IF(I98&lt;=B.2!$G$39,B.2!$H$39,IF(AND(I98&lt;=B.2!$G$38,I98&gt;B.2!$G$39),0+((B.2!$H$39-B.2!$H$38)/(B.2!$G$39-B.2!$G$38))*(I98-B.2!$G$38),0))</f>
        <v>30</v>
      </c>
      <c r="K98" s="419"/>
      <c r="L98" s="296">
        <v>4</v>
      </c>
      <c r="M98" s="296">
        <f>IF(L98&lt;=B.2!$G$41,B.2!$H$41,IF(AND(L98&lt;=B.2!$G$40,L98&gt;B.2!$G$41),0+((B.2!$H$41-B.2!$H$40)/(B.2!$G$41-B.2!$G$40))*(L98-B.2!$G$40),0))</f>
        <v>120</v>
      </c>
      <c r="N98" s="419"/>
      <c r="O98" s="296">
        <v>4</v>
      </c>
      <c r="P98" s="296">
        <f>IF(O98&lt;=B.2!$G$43,B.2!$H$43,IF(AND(O98&lt;=B.2!$G$42,O98&gt;B.2!$G$43),0+((B.2!$H$43-B.2!$H$42)/(B.2!$G$43-B.2!$G$42))*(O98-B.2!$G$42),0))</f>
        <v>105</v>
      </c>
      <c r="Q98" s="276"/>
      <c r="R98" s="295"/>
      <c r="S98" s="420"/>
      <c r="T98" s="297">
        <v>4</v>
      </c>
      <c r="U98" s="297">
        <f>IF(T98&lt;=B.2!$L$35,B.2!$M$35,IF(AND(T98&lt;=B.2!$L$34,T98&gt;B.2!$L$35),0+((B.2!$M$35-B.2!$M$34)/(B.2!$L$35-B.2!$L$34))*(T98-B.2!$L$34),0))</f>
        <v>25</v>
      </c>
      <c r="V98" s="421"/>
      <c r="W98" s="297">
        <v>4</v>
      </c>
      <c r="X98" s="297">
        <f>IF(W98&lt;=B.2!$L$37,B.2!$M$37,IF(AND(W98&lt;=B.2!$L$36,W98&gt;B.2!$L$37),0+((B.2!$M$37-B.2!$M$36)/(B.2!$L$37-B.2!$L$36))*(W98-B.2!$L$36),0))</f>
        <v>40</v>
      </c>
      <c r="Y98" s="420"/>
      <c r="Z98" s="297">
        <v>4</v>
      </c>
      <c r="AA98" s="297">
        <f>IF(Z98&lt;=B.2!$L$39,B.2!$M$39,IF(AND(Z98&lt;=B.2!$L$38,Z98&gt;B.2!$L$39),0+((B.2!$M$39-B.2!$M$38)/(B.2!$L$39-B.2!$L$38))*(Z98-B.2!$L$38),0))</f>
        <v>30</v>
      </c>
      <c r="AB98" s="421"/>
      <c r="AC98" s="297">
        <v>4</v>
      </c>
      <c r="AD98" s="297">
        <f>IF(AC98&lt;=B.2!$L$41,B.2!$M$41,IF(AND(AC98&lt;=B.2!$L$40,AC98&gt;B.2!$L$41),0+((B.2!$M$41-B.2!$M$40)/(B.2!$L$41-B.2!$L$40))*(AC98-B.2!$L$40),0))</f>
        <v>120</v>
      </c>
      <c r="AE98" s="421"/>
      <c r="AF98" s="297">
        <v>4</v>
      </c>
      <c r="AG98" s="297">
        <f>IF(AF98&lt;=B.2!$L$43,B.2!$M$43,IF(AND(AF98&lt;=B.2!$L$42,AF98&gt;B.2!$L$43),0+((B.2!$M$43-B.2!$M$42)/(B.2!$L$43-B.2!$L$42))*(AF98-B.2!$L$42),0))</f>
        <v>112.5</v>
      </c>
      <c r="AH98" s="146"/>
    </row>
    <row r="99" spans="2:34">
      <c r="B99" s="145"/>
      <c r="C99" s="296">
        <v>5</v>
      </c>
      <c r="D99" s="296">
        <f>IF(C99&lt;=B.2!$G$35,B.2!$H$35,IF(AND(C99&lt;=B.2!$G$34,C99&gt;B.2!$G$35),0+((B.2!$H$35-B.2!$H$34)/(B.2!$G$35-B.2!$G$34))*(C99-B.2!$G$34),0))</f>
        <v>25</v>
      </c>
      <c r="E99" s="419"/>
      <c r="F99" s="296">
        <v>5</v>
      </c>
      <c r="G99" s="296">
        <f>IF(F99&lt;=B.2!$G$37,B.2!$H$37,IF(AND(F99&lt;=B.2!$G$36,F99&gt;B.2!$G$37),0+((B.2!$H$37-B.2!$H$36)/(B.2!$G$37-B.2!$G$36))*(F99-B.2!$G$36),0))</f>
        <v>40</v>
      </c>
      <c r="H99" s="276"/>
      <c r="I99" s="296">
        <v>5</v>
      </c>
      <c r="J99" s="296">
        <f>IF(I99&lt;=B.2!$G$39,B.2!$H$39,IF(AND(I99&lt;=B.2!$G$38,I99&gt;B.2!$G$39),0+((B.2!$H$39-B.2!$H$38)/(B.2!$G$39-B.2!$G$38))*(I99-B.2!$G$38),0))</f>
        <v>30</v>
      </c>
      <c r="K99" s="419"/>
      <c r="L99" s="296">
        <v>5</v>
      </c>
      <c r="M99" s="296">
        <f>IF(L99&lt;=B.2!$G$41,B.2!$H$41,IF(AND(L99&lt;=B.2!$G$40,L99&gt;B.2!$G$41),0+((B.2!$H$41-B.2!$H$40)/(B.2!$G$41-B.2!$G$40))*(L99-B.2!$G$40),0))</f>
        <v>120</v>
      </c>
      <c r="N99" s="419"/>
      <c r="O99" s="296">
        <v>5</v>
      </c>
      <c r="P99" s="296">
        <f>IF(O99&lt;=B.2!$G$43,B.2!$H$43,IF(AND(O99&lt;=B.2!$G$42,O99&gt;B.2!$G$43),0+((B.2!$H$43-B.2!$H$42)/(B.2!$G$43-B.2!$G$42))*(O99-B.2!$G$42),0))</f>
        <v>97.5</v>
      </c>
      <c r="Q99" s="276"/>
      <c r="R99" s="295"/>
      <c r="S99" s="420"/>
      <c r="T99" s="297">
        <v>5</v>
      </c>
      <c r="U99" s="297">
        <f>IF(T99&lt;=B.2!$L$35,B.2!$M$35,IF(AND(T99&lt;=B.2!$L$34,T99&gt;B.2!$L$35),0+((B.2!$M$35-B.2!$M$34)/(B.2!$L$35-B.2!$L$34))*(T99-B.2!$L$34),0))</f>
        <v>25</v>
      </c>
      <c r="V99" s="421"/>
      <c r="W99" s="297">
        <v>5</v>
      </c>
      <c r="X99" s="297">
        <f>IF(W99&lt;=B.2!$L$37,B.2!$M$37,IF(AND(W99&lt;=B.2!$L$36,W99&gt;B.2!$L$37),0+((B.2!$M$37-B.2!$M$36)/(B.2!$L$37-B.2!$L$36))*(W99-B.2!$L$36),0))</f>
        <v>40</v>
      </c>
      <c r="Y99" s="420"/>
      <c r="Z99" s="297">
        <v>5</v>
      </c>
      <c r="AA99" s="297">
        <f>IF(Z99&lt;=B.2!$L$39,B.2!$M$39,IF(AND(Z99&lt;=B.2!$L$38,Z99&gt;B.2!$L$39),0+((B.2!$M$39-B.2!$M$38)/(B.2!$L$39-B.2!$L$38))*(Z99-B.2!$L$38),0))</f>
        <v>30</v>
      </c>
      <c r="AB99" s="421"/>
      <c r="AC99" s="297">
        <v>5</v>
      </c>
      <c r="AD99" s="297">
        <f>IF(AC99&lt;=B.2!$L$41,B.2!$M$41,IF(AND(AC99&lt;=B.2!$L$40,AC99&gt;B.2!$L$41),0+((B.2!$M$41-B.2!$M$40)/(B.2!$L$41-B.2!$L$40))*(AC99-B.2!$L$40),0))</f>
        <v>120</v>
      </c>
      <c r="AE99" s="421"/>
      <c r="AF99" s="297">
        <v>5</v>
      </c>
      <c r="AG99" s="297">
        <f>IF(AF99&lt;=B.2!$L$43,B.2!$M$43,IF(AND(AF99&lt;=B.2!$L$42,AF99&gt;B.2!$L$43),0+((B.2!$M$43-B.2!$M$42)/(B.2!$L$43-B.2!$L$42))*(AF99-B.2!$L$42),0))</f>
        <v>106.875</v>
      </c>
      <c r="AH99" s="146"/>
    </row>
    <row r="100" spans="2:34">
      <c r="B100" s="145"/>
      <c r="C100" s="296">
        <v>6</v>
      </c>
      <c r="D100" s="296">
        <f>IF(C100&lt;=B.2!$G$35,B.2!$H$35,IF(AND(C100&lt;=B.2!$G$34,C100&gt;B.2!$G$35),0+((B.2!$H$35-B.2!$H$34)/(B.2!$G$35-B.2!$G$34))*(C100-B.2!$G$34),0))</f>
        <v>25</v>
      </c>
      <c r="E100" s="419"/>
      <c r="F100" s="296">
        <v>6</v>
      </c>
      <c r="G100" s="296">
        <f>IF(F100&lt;=B.2!$G$37,B.2!$H$37,IF(AND(F100&lt;=B.2!$G$36,F100&gt;B.2!$G$37),0+((B.2!$H$37-B.2!$H$36)/(B.2!$G$37-B.2!$G$36))*(F100-B.2!$G$36),0))</f>
        <v>40</v>
      </c>
      <c r="H100" s="276"/>
      <c r="I100" s="296">
        <v>6</v>
      </c>
      <c r="J100" s="296">
        <f>IF(I100&lt;=B.2!$G$39,B.2!$H$39,IF(AND(I100&lt;=B.2!$G$38,I100&gt;B.2!$G$39),0+((B.2!$H$39-B.2!$H$38)/(B.2!$G$39-B.2!$G$38))*(I100-B.2!$G$38),0))</f>
        <v>30</v>
      </c>
      <c r="K100" s="419"/>
      <c r="L100" s="296">
        <v>6</v>
      </c>
      <c r="M100" s="296">
        <f>IF(L100&lt;=B.2!$G$41,B.2!$H$41,IF(AND(L100&lt;=B.2!$G$40,L100&gt;B.2!$G$41),0+((B.2!$H$41-B.2!$H$40)/(B.2!$G$41-B.2!$G$40))*(L100-B.2!$G$40),0))</f>
        <v>120</v>
      </c>
      <c r="N100" s="419"/>
      <c r="O100" s="296">
        <v>6</v>
      </c>
      <c r="P100" s="296">
        <f>IF(O100&lt;=B.2!$G$43,B.2!$H$43,IF(AND(O100&lt;=B.2!$G$42,O100&gt;B.2!$G$43),0+((B.2!$H$43-B.2!$H$42)/(B.2!$G$43-B.2!$G$42))*(O100-B.2!$G$42),0))</f>
        <v>90</v>
      </c>
      <c r="Q100" s="276"/>
      <c r="R100" s="295"/>
      <c r="S100" s="420"/>
      <c r="T100" s="297">
        <v>6</v>
      </c>
      <c r="U100" s="297">
        <f>IF(T100&lt;=B.2!$L$35,B.2!$M$35,IF(AND(T100&lt;=B.2!$L$34,T100&gt;B.2!$L$35),0+((B.2!$M$35-B.2!$M$34)/(B.2!$L$35-B.2!$L$34))*(T100-B.2!$L$34),0))</f>
        <v>25</v>
      </c>
      <c r="V100" s="421"/>
      <c r="W100" s="297">
        <v>6</v>
      </c>
      <c r="X100" s="297">
        <f>IF(W100&lt;=B.2!$L$37,B.2!$M$37,IF(AND(W100&lt;=B.2!$L$36,W100&gt;B.2!$L$37),0+((B.2!$M$37-B.2!$M$36)/(B.2!$L$37-B.2!$L$36))*(W100-B.2!$L$36),0))</f>
        <v>40</v>
      </c>
      <c r="Y100" s="420"/>
      <c r="Z100" s="297">
        <v>6</v>
      </c>
      <c r="AA100" s="297">
        <f>IF(Z100&lt;=B.2!$L$39,B.2!$M$39,IF(AND(Z100&lt;=B.2!$L$38,Z100&gt;B.2!$L$39),0+((B.2!$M$39-B.2!$M$38)/(B.2!$L$39-B.2!$L$38))*(Z100-B.2!$L$38),0))</f>
        <v>30</v>
      </c>
      <c r="AB100" s="421"/>
      <c r="AC100" s="297">
        <v>6</v>
      </c>
      <c r="AD100" s="297">
        <f>IF(AC100&lt;=B.2!$L$41,B.2!$M$41,IF(AND(AC100&lt;=B.2!$L$40,AC100&gt;B.2!$L$41),0+((B.2!$M$41-B.2!$M$40)/(B.2!$L$41-B.2!$L$40))*(AC100-B.2!$L$40),0))</f>
        <v>120</v>
      </c>
      <c r="AE100" s="421"/>
      <c r="AF100" s="297">
        <v>6</v>
      </c>
      <c r="AG100" s="297">
        <f>IF(AF100&lt;=B.2!$L$43,B.2!$M$43,IF(AND(AF100&lt;=B.2!$L$42,AF100&gt;B.2!$L$43),0+((B.2!$M$43-B.2!$M$42)/(B.2!$L$43-B.2!$L$42))*(AF100-B.2!$L$42),0))</f>
        <v>101.25</v>
      </c>
      <c r="AH100" s="146"/>
    </row>
    <row r="101" spans="2:34">
      <c r="B101" s="145"/>
      <c r="C101" s="296">
        <v>7</v>
      </c>
      <c r="D101" s="296">
        <f>IF(C101&lt;=B.2!$G$35,B.2!$H$35,IF(AND(C101&lt;=B.2!$G$34,C101&gt;B.2!$G$35),0+((B.2!$H$35-B.2!$H$34)/(B.2!$G$35-B.2!$G$34))*(C101-B.2!$G$34),0))</f>
        <v>25</v>
      </c>
      <c r="E101" s="419"/>
      <c r="F101" s="296">
        <v>7</v>
      </c>
      <c r="G101" s="296">
        <f>IF(F101&lt;=B.2!$G$37,B.2!$H$37,IF(AND(F101&lt;=B.2!$G$36,F101&gt;B.2!$G$37),0+((B.2!$H$37-B.2!$H$36)/(B.2!$G$37-B.2!$G$36))*(F101-B.2!$G$36),0))</f>
        <v>40</v>
      </c>
      <c r="H101" s="276"/>
      <c r="I101" s="296">
        <v>7</v>
      </c>
      <c r="J101" s="296">
        <f>IF(I101&lt;=B.2!$G$39,B.2!$H$39,IF(AND(I101&lt;=B.2!$G$38,I101&gt;B.2!$G$39),0+((B.2!$H$39-B.2!$H$38)/(B.2!$G$39-B.2!$G$38))*(I101-B.2!$G$38),0))</f>
        <v>30</v>
      </c>
      <c r="K101" s="419"/>
      <c r="L101" s="296">
        <v>7</v>
      </c>
      <c r="M101" s="296">
        <f>IF(L101&lt;=B.2!$G$41,B.2!$H$41,IF(AND(L101&lt;=B.2!$G$40,L101&gt;B.2!$G$41),0+((B.2!$H$41-B.2!$H$40)/(B.2!$G$41-B.2!$G$40))*(L101-B.2!$G$40),0))</f>
        <v>120</v>
      </c>
      <c r="N101" s="419"/>
      <c r="O101" s="296">
        <v>7</v>
      </c>
      <c r="P101" s="296">
        <f>IF(O101&lt;=B.2!$G$43,B.2!$H$43,IF(AND(O101&lt;=B.2!$G$42,O101&gt;B.2!$G$43),0+((B.2!$H$43-B.2!$H$42)/(B.2!$G$43-B.2!$G$42))*(O101-B.2!$G$42),0))</f>
        <v>82.5</v>
      </c>
      <c r="Q101" s="276"/>
      <c r="R101" s="295"/>
      <c r="S101" s="420"/>
      <c r="T101" s="297">
        <v>7</v>
      </c>
      <c r="U101" s="297">
        <f>IF(T101&lt;=B.2!$L$35,B.2!$M$35,IF(AND(T101&lt;=B.2!$L$34,T101&gt;B.2!$L$35),0+((B.2!$M$35-B.2!$M$34)/(B.2!$L$35-B.2!$L$34))*(T101-B.2!$L$34),0))</f>
        <v>25</v>
      </c>
      <c r="V101" s="421"/>
      <c r="W101" s="297">
        <v>7</v>
      </c>
      <c r="X101" s="297">
        <f>IF(W101&lt;=B.2!$L$37,B.2!$M$37,IF(AND(W101&lt;=B.2!$L$36,W101&gt;B.2!$L$37),0+((B.2!$M$37-B.2!$M$36)/(B.2!$L$37-B.2!$L$36))*(W101-B.2!$L$36),0))</f>
        <v>40</v>
      </c>
      <c r="Y101" s="420"/>
      <c r="Z101" s="297">
        <v>7</v>
      </c>
      <c r="AA101" s="297">
        <f>IF(Z101&lt;=B.2!$L$39,B.2!$M$39,IF(AND(Z101&lt;=B.2!$L$38,Z101&gt;B.2!$L$39),0+((B.2!$M$39-B.2!$M$38)/(B.2!$L$39-B.2!$L$38))*(Z101-B.2!$L$38),0))</f>
        <v>30</v>
      </c>
      <c r="AB101" s="421"/>
      <c r="AC101" s="297">
        <v>7</v>
      </c>
      <c r="AD101" s="297">
        <f>IF(AC101&lt;=B.2!$L$41,B.2!$M$41,IF(AND(AC101&lt;=B.2!$L$40,AC101&gt;B.2!$L$41),0+((B.2!$M$41-B.2!$M$40)/(B.2!$L$41-B.2!$L$40))*(AC101-B.2!$L$40),0))</f>
        <v>120</v>
      </c>
      <c r="AE101" s="421"/>
      <c r="AF101" s="297">
        <v>7</v>
      </c>
      <c r="AG101" s="297">
        <f>IF(AF101&lt;=B.2!$L$43,B.2!$M$43,IF(AND(AF101&lt;=B.2!$L$42,AF101&gt;B.2!$L$43),0+((B.2!$M$43-B.2!$M$42)/(B.2!$L$43-B.2!$L$42))*(AF101-B.2!$L$42),0))</f>
        <v>95.625</v>
      </c>
      <c r="AH101" s="146"/>
    </row>
    <row r="102" spans="2:34">
      <c r="B102" s="145"/>
      <c r="C102" s="296">
        <v>8</v>
      </c>
      <c r="D102" s="296">
        <f>IF(C102&lt;=B.2!$G$35,B.2!$H$35,IF(AND(C102&lt;=B.2!$G$34,C102&gt;B.2!$G$35),0+((B.2!$H$35-B.2!$H$34)/(B.2!$G$35-B.2!$G$34))*(C102-B.2!$G$34),0))</f>
        <v>25</v>
      </c>
      <c r="E102" s="419"/>
      <c r="F102" s="296">
        <v>8</v>
      </c>
      <c r="G102" s="296">
        <f>IF(F102&lt;=B.2!$G$37,B.2!$H$37,IF(AND(F102&lt;=B.2!$G$36,F102&gt;B.2!$G$37),0+((B.2!$H$37-B.2!$H$36)/(B.2!$G$37-B.2!$G$36))*(F102-B.2!$G$36),0))</f>
        <v>40</v>
      </c>
      <c r="H102" s="276"/>
      <c r="I102" s="296">
        <v>8</v>
      </c>
      <c r="J102" s="296">
        <f>IF(I102&lt;=B.2!$G$39,B.2!$H$39,IF(AND(I102&lt;=B.2!$G$38,I102&gt;B.2!$G$39),0+((B.2!$H$39-B.2!$H$38)/(B.2!$G$39-B.2!$G$38))*(I102-B.2!$G$38),0))</f>
        <v>30</v>
      </c>
      <c r="K102" s="419"/>
      <c r="L102" s="296">
        <v>8</v>
      </c>
      <c r="M102" s="296">
        <f>IF(L102&lt;=B.2!$G$41,B.2!$H$41,IF(AND(L102&lt;=B.2!$G$40,L102&gt;B.2!$G$41),0+((B.2!$H$41-B.2!$H$40)/(B.2!$G$41-B.2!$G$40))*(L102-B.2!$G$40),0))</f>
        <v>120</v>
      </c>
      <c r="N102" s="419"/>
      <c r="O102" s="296">
        <v>8</v>
      </c>
      <c r="P102" s="296">
        <f>IF(O102&lt;=B.2!$G$43,B.2!$H$43,IF(AND(O102&lt;=B.2!$G$42,O102&gt;B.2!$G$43),0+((B.2!$H$43-B.2!$H$42)/(B.2!$G$43-B.2!$G$42))*(O102-B.2!$G$42),0))</f>
        <v>75</v>
      </c>
      <c r="Q102" s="276"/>
      <c r="R102" s="295"/>
      <c r="S102" s="420"/>
      <c r="T102" s="297">
        <v>8</v>
      </c>
      <c r="U102" s="297">
        <f>IF(T102&lt;=B.2!$L$35,B.2!$M$35,IF(AND(T102&lt;=B.2!$L$34,T102&gt;B.2!$L$35),0+((B.2!$M$35-B.2!$M$34)/(B.2!$L$35-B.2!$L$34))*(T102-B.2!$L$34),0))</f>
        <v>25</v>
      </c>
      <c r="V102" s="421"/>
      <c r="W102" s="297">
        <v>8</v>
      </c>
      <c r="X102" s="297">
        <f>IF(W102&lt;=B.2!$L$37,B.2!$M$37,IF(AND(W102&lt;=B.2!$L$36,W102&gt;B.2!$L$37),0+((B.2!$M$37-B.2!$M$36)/(B.2!$L$37-B.2!$L$36))*(W102-B.2!$L$36),0))</f>
        <v>40</v>
      </c>
      <c r="Y102" s="420"/>
      <c r="Z102" s="297">
        <v>8</v>
      </c>
      <c r="AA102" s="297">
        <f>IF(Z102&lt;=B.2!$L$39,B.2!$M$39,IF(AND(Z102&lt;=B.2!$L$38,Z102&gt;B.2!$L$39),0+((B.2!$M$39-B.2!$M$38)/(B.2!$L$39-B.2!$L$38))*(Z102-B.2!$L$38),0))</f>
        <v>30</v>
      </c>
      <c r="AB102" s="421"/>
      <c r="AC102" s="297">
        <v>8</v>
      </c>
      <c r="AD102" s="297">
        <f>IF(AC102&lt;=B.2!$L$41,B.2!$M$41,IF(AND(AC102&lt;=B.2!$L$40,AC102&gt;B.2!$L$41),0+((B.2!$M$41-B.2!$M$40)/(B.2!$L$41-B.2!$L$40))*(AC102-B.2!$L$40),0))</f>
        <v>120</v>
      </c>
      <c r="AE102" s="421"/>
      <c r="AF102" s="297">
        <v>8</v>
      </c>
      <c r="AG102" s="297">
        <f>IF(AF102&lt;=B.2!$L$43,B.2!$M$43,IF(AND(AF102&lt;=B.2!$L$42,AF102&gt;B.2!$L$43),0+((B.2!$M$43-B.2!$M$42)/(B.2!$L$43-B.2!$L$42))*(AF102-B.2!$L$42),0))</f>
        <v>90</v>
      </c>
      <c r="AH102" s="146"/>
    </row>
    <row r="103" spans="2:34">
      <c r="B103" s="145"/>
      <c r="C103" s="296">
        <v>9</v>
      </c>
      <c r="D103" s="296">
        <f>IF(C103&lt;=B.2!$G$35,B.2!$H$35,IF(AND(C103&lt;=B.2!$G$34,C103&gt;B.2!$G$35),0+((B.2!$H$35-B.2!$H$34)/(B.2!$G$35-B.2!$G$34))*(C103-B.2!$G$34),0))</f>
        <v>25</v>
      </c>
      <c r="E103" s="419"/>
      <c r="F103" s="296">
        <v>9</v>
      </c>
      <c r="G103" s="296">
        <f>IF(F103&lt;=B.2!$G$37,B.2!$H$37,IF(AND(F103&lt;=B.2!$G$36,F103&gt;B.2!$G$37),0+((B.2!$H$37-B.2!$H$36)/(B.2!$G$37-B.2!$G$36))*(F103-B.2!$G$36),0))</f>
        <v>40</v>
      </c>
      <c r="H103" s="276"/>
      <c r="I103" s="296">
        <v>9</v>
      </c>
      <c r="J103" s="296">
        <f>IF(I103&lt;=B.2!$G$39,B.2!$H$39,IF(AND(I103&lt;=B.2!$G$38,I103&gt;B.2!$G$39),0+((B.2!$H$39-B.2!$H$38)/(B.2!$G$39-B.2!$G$38))*(I103-B.2!$G$38),0))</f>
        <v>30</v>
      </c>
      <c r="K103" s="419"/>
      <c r="L103" s="296">
        <v>9</v>
      </c>
      <c r="M103" s="296">
        <f>IF(L103&lt;=B.2!$G$41,B.2!$H$41,IF(AND(L103&lt;=B.2!$G$40,L103&gt;B.2!$G$41),0+((B.2!$H$41-B.2!$H$40)/(B.2!$G$41-B.2!$G$40))*(L103-B.2!$G$40),0))</f>
        <v>120</v>
      </c>
      <c r="N103" s="419"/>
      <c r="O103" s="296">
        <v>9</v>
      </c>
      <c r="P103" s="296">
        <f>IF(O103&lt;=B.2!$G$43,B.2!$H$43,IF(AND(O103&lt;=B.2!$G$42,O103&gt;B.2!$G$43),0+((B.2!$H$43-B.2!$H$42)/(B.2!$G$43-B.2!$G$42))*(O103-B.2!$G$42),0))</f>
        <v>67.5</v>
      </c>
      <c r="Q103" s="276"/>
      <c r="R103" s="295"/>
      <c r="S103" s="420"/>
      <c r="T103" s="297">
        <v>9</v>
      </c>
      <c r="U103" s="297">
        <f>IF(T103&lt;=B.2!$L$35,B.2!$M$35,IF(AND(T103&lt;=B.2!$L$34,T103&gt;B.2!$L$35),0+((B.2!$M$35-B.2!$M$34)/(B.2!$L$35-B.2!$L$34))*(T103-B.2!$L$34),0))</f>
        <v>25</v>
      </c>
      <c r="V103" s="421"/>
      <c r="W103" s="297">
        <v>9</v>
      </c>
      <c r="X103" s="297">
        <f>IF(W103&lt;=B.2!$L$37,B.2!$M$37,IF(AND(W103&lt;=B.2!$L$36,W103&gt;B.2!$L$37),0+((B.2!$M$37-B.2!$M$36)/(B.2!$L$37-B.2!$L$36))*(W103-B.2!$L$36),0))</f>
        <v>40</v>
      </c>
      <c r="Y103" s="420"/>
      <c r="Z103" s="297">
        <v>9</v>
      </c>
      <c r="AA103" s="297">
        <f>IF(Z103&lt;=B.2!$L$39,B.2!$M$39,IF(AND(Z103&lt;=B.2!$L$38,Z103&gt;B.2!$L$39),0+((B.2!$M$39-B.2!$M$38)/(B.2!$L$39-B.2!$L$38))*(Z103-B.2!$L$38),0))</f>
        <v>30</v>
      </c>
      <c r="AB103" s="421"/>
      <c r="AC103" s="297">
        <v>9</v>
      </c>
      <c r="AD103" s="297">
        <f>IF(AC103&lt;=B.2!$L$41,B.2!$M$41,IF(AND(AC103&lt;=B.2!$L$40,AC103&gt;B.2!$L$41),0+((B.2!$M$41-B.2!$M$40)/(B.2!$L$41-B.2!$L$40))*(AC103-B.2!$L$40),0))</f>
        <v>120</v>
      </c>
      <c r="AE103" s="421"/>
      <c r="AF103" s="297">
        <v>9</v>
      </c>
      <c r="AG103" s="297">
        <f>IF(AF103&lt;=B.2!$L$43,B.2!$M$43,IF(AND(AF103&lt;=B.2!$L$42,AF103&gt;B.2!$L$43),0+((B.2!$M$43-B.2!$M$42)/(B.2!$L$43-B.2!$L$42))*(AF103-B.2!$L$42),0))</f>
        <v>84.375</v>
      </c>
      <c r="AH103" s="146"/>
    </row>
    <row r="104" spans="2:34">
      <c r="B104" s="145"/>
      <c r="C104" s="296">
        <v>10</v>
      </c>
      <c r="D104" s="296">
        <f>IF(C104&lt;=B.2!$G$35,B.2!$H$35,IF(AND(C104&lt;=B.2!$G$34,C104&gt;B.2!$G$35),0+((B.2!$H$35-B.2!$H$34)/(B.2!$G$35-B.2!$G$34))*(C104-B.2!$G$34),0))</f>
        <v>25</v>
      </c>
      <c r="E104" s="419"/>
      <c r="F104" s="296">
        <v>10</v>
      </c>
      <c r="G104" s="296">
        <f>IF(F104&lt;=B.2!$G$37,B.2!$H$37,IF(AND(F104&lt;=B.2!$G$36,F104&gt;B.2!$G$37),0+((B.2!$H$37-B.2!$H$36)/(B.2!$G$37-B.2!$G$36))*(F104-B.2!$G$36),0))</f>
        <v>40</v>
      </c>
      <c r="H104" s="276"/>
      <c r="I104" s="296">
        <v>10</v>
      </c>
      <c r="J104" s="296">
        <f>IF(I104&lt;=B.2!$G$39,B.2!$H$39,IF(AND(I104&lt;=B.2!$G$38,I104&gt;B.2!$G$39),0+((B.2!$H$39-B.2!$H$38)/(B.2!$G$39-B.2!$G$38))*(I104-B.2!$G$38),0))</f>
        <v>30</v>
      </c>
      <c r="K104" s="419"/>
      <c r="L104" s="296">
        <v>10</v>
      </c>
      <c r="M104" s="296">
        <f>IF(L104&lt;=B.2!$G$41,B.2!$H$41,IF(AND(L104&lt;=B.2!$G$40,L104&gt;B.2!$G$41),0+((B.2!$H$41-B.2!$H$40)/(B.2!$G$41-B.2!$G$40))*(L104-B.2!$G$40),0))</f>
        <v>120</v>
      </c>
      <c r="N104" s="419"/>
      <c r="O104" s="296">
        <v>10</v>
      </c>
      <c r="P104" s="296">
        <f>IF(O104&lt;=B.2!$G$43,B.2!$H$43,IF(AND(O104&lt;=B.2!$G$42,O104&gt;B.2!$G$43),0+((B.2!$H$43-B.2!$H$42)/(B.2!$G$43-B.2!$G$42))*(O104-B.2!$G$42),0))</f>
        <v>60</v>
      </c>
      <c r="Q104" s="276"/>
      <c r="R104" s="295"/>
      <c r="S104" s="420"/>
      <c r="T104" s="297">
        <v>10</v>
      </c>
      <c r="U104" s="297">
        <f>IF(T104&lt;=B.2!$L$35,B.2!$M$35,IF(AND(T104&lt;=B.2!$L$34,T104&gt;B.2!$L$35),0+((B.2!$M$35-B.2!$M$34)/(B.2!$L$35-B.2!$L$34))*(T104-B.2!$L$34),0))</f>
        <v>25</v>
      </c>
      <c r="V104" s="421"/>
      <c r="W104" s="297">
        <v>10</v>
      </c>
      <c r="X104" s="297">
        <f>IF(W104&lt;=B.2!$L$37,B.2!$M$37,IF(AND(W104&lt;=B.2!$L$36,W104&gt;B.2!$L$37),0+((B.2!$M$37-B.2!$M$36)/(B.2!$L$37-B.2!$L$36))*(W104-B.2!$L$36),0))</f>
        <v>40</v>
      </c>
      <c r="Y104" s="420"/>
      <c r="Z104" s="297">
        <v>10</v>
      </c>
      <c r="AA104" s="297">
        <f>IF(Z104&lt;=B.2!$L$39,B.2!$M$39,IF(AND(Z104&lt;=B.2!$L$38,Z104&gt;B.2!$L$39),0+((B.2!$M$39-B.2!$M$38)/(B.2!$L$39-B.2!$L$38))*(Z104-B.2!$L$38),0))</f>
        <v>30</v>
      </c>
      <c r="AB104" s="421"/>
      <c r="AC104" s="297">
        <v>10</v>
      </c>
      <c r="AD104" s="297">
        <f>IF(AC104&lt;=B.2!$L$41,B.2!$M$41,IF(AND(AC104&lt;=B.2!$L$40,AC104&gt;B.2!$L$41),0+((B.2!$M$41-B.2!$M$40)/(B.2!$L$41-B.2!$L$40))*(AC104-B.2!$L$40),0))</f>
        <v>120</v>
      </c>
      <c r="AE104" s="421"/>
      <c r="AF104" s="297">
        <v>10</v>
      </c>
      <c r="AG104" s="297">
        <f>IF(AF104&lt;=B.2!$L$43,B.2!$M$43,IF(AND(AF104&lt;=B.2!$L$42,AF104&gt;B.2!$L$43),0+((B.2!$M$43-B.2!$M$42)/(B.2!$L$43-B.2!$L$42))*(AF104-B.2!$L$42),0))</f>
        <v>78.75</v>
      </c>
      <c r="AH104" s="146"/>
    </row>
    <row r="105" spans="2:34">
      <c r="B105" s="145"/>
      <c r="C105" s="296">
        <v>11</v>
      </c>
      <c r="D105" s="296">
        <f>IF(C105&lt;=B.2!$G$35,B.2!$H$35,IF(AND(C105&lt;=B.2!$G$34,C105&gt;B.2!$G$35),0+((B.2!$H$35-B.2!$H$34)/(B.2!$G$35-B.2!$G$34))*(C105-B.2!$G$34),0))</f>
        <v>24.404761904761905</v>
      </c>
      <c r="E105" s="419"/>
      <c r="F105" s="296">
        <v>11</v>
      </c>
      <c r="G105" s="296">
        <f>IF(F105&lt;=B.2!$G$37,B.2!$H$37,IF(AND(F105&lt;=B.2!$G$36,F105&gt;B.2!$G$37),0+((B.2!$H$37-B.2!$H$36)/(B.2!$G$37-B.2!$G$36))*(F105-B.2!$G$36),0))</f>
        <v>40</v>
      </c>
      <c r="H105" s="276"/>
      <c r="I105" s="296">
        <v>11</v>
      </c>
      <c r="J105" s="296">
        <f>IF(I105&lt;=B.2!$G$39,B.2!$H$39,IF(AND(I105&lt;=B.2!$G$38,I105&gt;B.2!$G$39),0+((B.2!$H$39-B.2!$H$38)/(B.2!$G$39-B.2!$G$38))*(I105-B.2!$G$38),0))</f>
        <v>30</v>
      </c>
      <c r="K105" s="419"/>
      <c r="L105" s="296">
        <v>11</v>
      </c>
      <c r="M105" s="296">
        <f>IF(L105&lt;=B.2!$G$41,B.2!$H$41,IF(AND(L105&lt;=B.2!$G$40,L105&gt;B.2!$G$41),0+((B.2!$H$41-B.2!$H$40)/(B.2!$G$41-B.2!$G$40))*(L105-B.2!$G$40),0))</f>
        <v>120</v>
      </c>
      <c r="N105" s="419"/>
      <c r="O105" s="296">
        <v>11</v>
      </c>
      <c r="P105" s="296">
        <f>IF(O105&lt;=B.2!$G$43,B.2!$H$43,IF(AND(O105&lt;=B.2!$G$42,O105&gt;B.2!$G$43),0+((B.2!$H$43-B.2!$H$42)/(B.2!$G$43-B.2!$G$42))*(O105-B.2!$G$42),0))</f>
        <v>52.5</v>
      </c>
      <c r="Q105" s="276"/>
      <c r="R105" s="295"/>
      <c r="S105" s="420"/>
      <c r="T105" s="297">
        <v>11</v>
      </c>
      <c r="U105" s="297">
        <f>IF(T105&lt;=B.2!$L$35,B.2!$M$35,IF(AND(T105&lt;=B.2!$L$34,T105&gt;B.2!$L$35),0+((B.2!$M$35-B.2!$M$34)/(B.2!$L$35-B.2!$L$34))*(T105-B.2!$L$34),0))</f>
        <v>25</v>
      </c>
      <c r="V105" s="421"/>
      <c r="W105" s="297">
        <v>11</v>
      </c>
      <c r="X105" s="297">
        <f>IF(W105&lt;=B.2!$L$37,B.2!$M$37,IF(AND(W105&lt;=B.2!$L$36,W105&gt;B.2!$L$37),0+((B.2!$M$37-B.2!$M$36)/(B.2!$L$37-B.2!$L$36))*(W105-B.2!$L$36),0))</f>
        <v>40</v>
      </c>
      <c r="Y105" s="420"/>
      <c r="Z105" s="297">
        <v>11</v>
      </c>
      <c r="AA105" s="297">
        <f>IF(Z105&lt;=B.2!$L$39,B.2!$M$39,IF(AND(Z105&lt;=B.2!$L$38,Z105&gt;B.2!$L$39),0+((B.2!$M$39-B.2!$M$38)/(B.2!$L$39-B.2!$L$38))*(Z105-B.2!$L$38),0))</f>
        <v>30</v>
      </c>
      <c r="AB105" s="421"/>
      <c r="AC105" s="297">
        <v>11</v>
      </c>
      <c r="AD105" s="297">
        <f>IF(AC105&lt;=B.2!$L$41,B.2!$M$41,IF(AND(AC105&lt;=B.2!$L$40,AC105&gt;B.2!$L$41),0+((B.2!$M$41-B.2!$M$40)/(B.2!$L$41-B.2!$L$40))*(AC105-B.2!$L$40),0))</f>
        <v>120</v>
      </c>
      <c r="AE105" s="421"/>
      <c r="AF105" s="297">
        <v>11</v>
      </c>
      <c r="AG105" s="297">
        <f>IF(AF105&lt;=B.2!$L$43,B.2!$M$43,IF(AND(AF105&lt;=B.2!$L$42,AF105&gt;B.2!$L$43),0+((B.2!$M$43-B.2!$M$42)/(B.2!$L$43-B.2!$L$42))*(AF105-B.2!$L$42),0))</f>
        <v>73.125</v>
      </c>
      <c r="AH105" s="146"/>
    </row>
    <row r="106" spans="2:34">
      <c r="B106" s="145"/>
      <c r="C106" s="296">
        <v>12</v>
      </c>
      <c r="D106" s="296">
        <f>IF(C106&lt;=B.2!$G$35,B.2!$H$35,IF(AND(C106&lt;=B.2!$G$34,C106&gt;B.2!$G$35),0+((B.2!$H$35-B.2!$H$34)/(B.2!$G$35-B.2!$G$34))*(C106-B.2!$G$34),0))</f>
        <v>23.80952380952381</v>
      </c>
      <c r="E106" s="419"/>
      <c r="F106" s="296">
        <v>12</v>
      </c>
      <c r="G106" s="296">
        <f>IF(F106&lt;=B.2!$G$37,B.2!$H$37,IF(AND(F106&lt;=B.2!$G$36,F106&gt;B.2!$G$37),0+((B.2!$H$37-B.2!$H$36)/(B.2!$G$37-B.2!$G$36))*(F106-B.2!$G$36),0))</f>
        <v>40</v>
      </c>
      <c r="H106" s="276"/>
      <c r="I106" s="296">
        <v>12</v>
      </c>
      <c r="J106" s="296">
        <f>IF(I106&lt;=B.2!$G$39,B.2!$H$39,IF(AND(I106&lt;=B.2!$G$38,I106&gt;B.2!$G$39),0+((B.2!$H$39-B.2!$H$38)/(B.2!$G$39-B.2!$G$38))*(I106-B.2!$G$38),0))</f>
        <v>30</v>
      </c>
      <c r="K106" s="419"/>
      <c r="L106" s="296">
        <v>12</v>
      </c>
      <c r="M106" s="296">
        <f>IF(L106&lt;=B.2!$G$41,B.2!$H$41,IF(AND(L106&lt;=B.2!$G$40,L106&gt;B.2!$G$41),0+((B.2!$H$41-B.2!$H$40)/(B.2!$G$41-B.2!$G$40))*(L106-B.2!$G$40),0))</f>
        <v>120</v>
      </c>
      <c r="N106" s="419"/>
      <c r="O106" s="296">
        <v>12</v>
      </c>
      <c r="P106" s="296">
        <f>IF(O106&lt;=B.2!$G$43,B.2!$H$43,IF(AND(O106&lt;=B.2!$G$42,O106&gt;B.2!$G$43),0+((B.2!$H$43-B.2!$H$42)/(B.2!$G$43-B.2!$G$42))*(O106-B.2!$G$42),0))</f>
        <v>45</v>
      </c>
      <c r="Q106" s="276"/>
      <c r="R106" s="295"/>
      <c r="S106" s="420"/>
      <c r="T106" s="297">
        <v>12</v>
      </c>
      <c r="U106" s="297">
        <f>IF(T106&lt;=B.2!$L$35,B.2!$M$35,IF(AND(T106&lt;=B.2!$L$34,T106&gt;B.2!$L$35),0+((B.2!$M$35-B.2!$M$34)/(B.2!$L$35-B.2!$L$34))*(T106-B.2!$L$34),0))</f>
        <v>25</v>
      </c>
      <c r="V106" s="421"/>
      <c r="W106" s="297">
        <v>12</v>
      </c>
      <c r="X106" s="297">
        <f>IF(W106&lt;=B.2!$L$37,B.2!$M$37,IF(AND(W106&lt;=B.2!$L$36,W106&gt;B.2!$L$37),0+((B.2!$M$37-B.2!$M$36)/(B.2!$L$37-B.2!$L$36))*(W106-B.2!$L$36),0))</f>
        <v>40</v>
      </c>
      <c r="Y106" s="420"/>
      <c r="Z106" s="297">
        <v>12</v>
      </c>
      <c r="AA106" s="297">
        <f>IF(Z106&lt;=B.2!$L$39,B.2!$M$39,IF(AND(Z106&lt;=B.2!$L$38,Z106&gt;B.2!$L$39),0+((B.2!$M$39-B.2!$M$38)/(B.2!$L$39-B.2!$L$38))*(Z106-B.2!$L$38),0))</f>
        <v>30</v>
      </c>
      <c r="AB106" s="421"/>
      <c r="AC106" s="297">
        <v>12</v>
      </c>
      <c r="AD106" s="297">
        <f>IF(AC106&lt;=B.2!$L$41,B.2!$M$41,IF(AND(AC106&lt;=B.2!$L$40,AC106&gt;B.2!$L$41),0+((B.2!$M$41-B.2!$M$40)/(B.2!$L$41-B.2!$L$40))*(AC106-B.2!$L$40),0))</f>
        <v>120</v>
      </c>
      <c r="AE106" s="421"/>
      <c r="AF106" s="297">
        <v>12</v>
      </c>
      <c r="AG106" s="297">
        <f>IF(AF106&lt;=B.2!$L$43,B.2!$M$43,IF(AND(AF106&lt;=B.2!$L$42,AF106&gt;B.2!$L$43),0+((B.2!$M$43-B.2!$M$42)/(B.2!$L$43-B.2!$L$42))*(AF106-B.2!$L$42),0))</f>
        <v>67.5</v>
      </c>
      <c r="AH106" s="146"/>
    </row>
    <row r="107" spans="2:34">
      <c r="B107" s="145"/>
      <c r="C107" s="296">
        <v>13</v>
      </c>
      <c r="D107" s="296">
        <f>IF(C107&lt;=B.2!$G$35,B.2!$H$35,IF(AND(C107&lt;=B.2!$G$34,C107&gt;B.2!$G$35),0+((B.2!$H$35-B.2!$H$34)/(B.2!$G$35-B.2!$G$34))*(C107-B.2!$G$34),0))</f>
        <v>23.214285714285715</v>
      </c>
      <c r="E107" s="419"/>
      <c r="F107" s="296">
        <v>13</v>
      </c>
      <c r="G107" s="296">
        <f>IF(F107&lt;=B.2!$G$37,B.2!$H$37,IF(AND(F107&lt;=B.2!$G$36,F107&gt;B.2!$G$37),0+((B.2!$H$37-B.2!$H$36)/(B.2!$G$37-B.2!$G$36))*(F107-B.2!$G$36),0))</f>
        <v>40</v>
      </c>
      <c r="H107" s="276"/>
      <c r="I107" s="296">
        <v>13</v>
      </c>
      <c r="J107" s="296">
        <f>IF(I107&lt;=B.2!$G$39,B.2!$H$39,IF(AND(I107&lt;=B.2!$G$38,I107&gt;B.2!$G$39),0+((B.2!$H$39-B.2!$H$38)/(B.2!$G$39-B.2!$G$38))*(I107-B.2!$G$38),0))</f>
        <v>28.333333333333336</v>
      </c>
      <c r="K107" s="419"/>
      <c r="L107" s="296">
        <v>13</v>
      </c>
      <c r="M107" s="296">
        <f>IF(L107&lt;=B.2!$G$41,B.2!$H$41,IF(AND(L107&lt;=B.2!$G$40,L107&gt;B.2!$G$41),0+((B.2!$H$41-B.2!$H$40)/(B.2!$G$41-B.2!$G$40))*(L107-B.2!$G$40),0))</f>
        <v>120</v>
      </c>
      <c r="N107" s="419"/>
      <c r="O107" s="296">
        <v>13</v>
      </c>
      <c r="P107" s="296">
        <f>IF(O107&lt;=B.2!$G$43,B.2!$H$43,IF(AND(O107&lt;=B.2!$G$42,O107&gt;B.2!$G$43),0+((B.2!$H$43-B.2!$H$42)/(B.2!$G$43-B.2!$G$42))*(O107-B.2!$G$42),0))</f>
        <v>37.5</v>
      </c>
      <c r="Q107" s="276"/>
      <c r="R107" s="295"/>
      <c r="S107" s="420"/>
      <c r="T107" s="297">
        <v>13</v>
      </c>
      <c r="U107" s="297">
        <f>IF(T107&lt;=B.2!$L$35,B.2!$M$35,IF(AND(T107&lt;=B.2!$L$34,T107&gt;B.2!$L$35),0+((B.2!$M$35-B.2!$M$34)/(B.2!$L$35-B.2!$L$34))*(T107-B.2!$L$34),0))</f>
        <v>25</v>
      </c>
      <c r="V107" s="421"/>
      <c r="W107" s="297">
        <v>13</v>
      </c>
      <c r="X107" s="297">
        <f>IF(W107&lt;=B.2!$L$37,B.2!$M$37,IF(AND(W107&lt;=B.2!$L$36,W107&gt;B.2!$L$37),0+((B.2!$M$37-B.2!$M$36)/(B.2!$L$37-B.2!$L$36))*(W107-B.2!$L$36),0))</f>
        <v>40</v>
      </c>
      <c r="Y107" s="420"/>
      <c r="Z107" s="297">
        <v>13</v>
      </c>
      <c r="AA107" s="297">
        <f>IF(Z107&lt;=B.2!$L$39,B.2!$M$39,IF(AND(Z107&lt;=B.2!$L$38,Z107&gt;B.2!$L$39),0+((B.2!$M$39-B.2!$M$38)/(B.2!$L$39-B.2!$L$38))*(Z107-B.2!$L$38),0))</f>
        <v>30</v>
      </c>
      <c r="AB107" s="421"/>
      <c r="AC107" s="297">
        <v>13</v>
      </c>
      <c r="AD107" s="297">
        <f>IF(AC107&lt;=B.2!$L$41,B.2!$M$41,IF(AND(AC107&lt;=B.2!$L$40,AC107&gt;B.2!$L$41),0+((B.2!$M$41-B.2!$M$40)/(B.2!$L$41-B.2!$L$40))*(AC107-B.2!$L$40),0))</f>
        <v>120</v>
      </c>
      <c r="AE107" s="421"/>
      <c r="AF107" s="297">
        <v>13</v>
      </c>
      <c r="AG107" s="297">
        <f>IF(AF107&lt;=B.2!$L$43,B.2!$M$43,IF(AND(AF107&lt;=B.2!$L$42,AF107&gt;B.2!$L$43),0+((B.2!$M$43-B.2!$M$42)/(B.2!$L$43-B.2!$L$42))*(AF107-B.2!$L$42),0))</f>
        <v>61.875</v>
      </c>
      <c r="AH107" s="146"/>
    </row>
    <row r="108" spans="2:34">
      <c r="B108" s="145"/>
      <c r="C108" s="296">
        <v>14</v>
      </c>
      <c r="D108" s="296">
        <f>IF(C108&lt;=B.2!$G$35,B.2!$H$35,IF(AND(C108&lt;=B.2!$G$34,C108&gt;B.2!$G$35),0+((B.2!$H$35-B.2!$H$34)/(B.2!$G$35-B.2!$G$34))*(C108-B.2!$G$34),0))</f>
        <v>22.61904761904762</v>
      </c>
      <c r="E108" s="419"/>
      <c r="F108" s="296">
        <v>14</v>
      </c>
      <c r="G108" s="296">
        <f>IF(F108&lt;=B.2!$G$37,B.2!$H$37,IF(AND(F108&lt;=B.2!$G$36,F108&gt;B.2!$G$37),0+((B.2!$H$37-B.2!$H$36)/(B.2!$G$37-B.2!$G$36))*(F108-B.2!$G$36),0))</f>
        <v>40</v>
      </c>
      <c r="H108" s="276"/>
      <c r="I108" s="296">
        <v>14</v>
      </c>
      <c r="J108" s="296">
        <f>IF(I108&lt;=B.2!$G$39,B.2!$H$39,IF(AND(I108&lt;=B.2!$G$38,I108&gt;B.2!$G$39),0+((B.2!$H$39-B.2!$H$38)/(B.2!$G$39-B.2!$G$38))*(I108-B.2!$G$38),0))</f>
        <v>26.666666666666668</v>
      </c>
      <c r="K108" s="419"/>
      <c r="L108" s="296">
        <v>14</v>
      </c>
      <c r="M108" s="296">
        <f>IF(L108&lt;=B.2!$G$41,B.2!$H$41,IF(AND(L108&lt;=B.2!$G$40,L108&gt;B.2!$G$41),0+((B.2!$H$41-B.2!$H$40)/(B.2!$G$41-B.2!$G$40))*(L108-B.2!$G$40),0))</f>
        <v>120</v>
      </c>
      <c r="N108" s="419"/>
      <c r="O108" s="296">
        <v>14</v>
      </c>
      <c r="P108" s="296">
        <f>IF(O108&lt;=B.2!$G$43,B.2!$H$43,IF(AND(O108&lt;=B.2!$G$42,O108&gt;B.2!$G$43),0+((B.2!$H$43-B.2!$H$42)/(B.2!$G$43-B.2!$G$42))*(O108-B.2!$G$42),0))</f>
        <v>30</v>
      </c>
      <c r="Q108" s="276"/>
      <c r="R108" s="295"/>
      <c r="S108" s="420"/>
      <c r="T108" s="297">
        <v>14</v>
      </c>
      <c r="U108" s="297">
        <f>IF(T108&lt;=B.2!$L$35,B.2!$M$35,IF(AND(T108&lt;=B.2!$L$34,T108&gt;B.2!$L$35),0+((B.2!$M$35-B.2!$M$34)/(B.2!$L$35-B.2!$L$34))*(T108-B.2!$L$34),0))</f>
        <v>25</v>
      </c>
      <c r="V108" s="421"/>
      <c r="W108" s="297">
        <v>14</v>
      </c>
      <c r="X108" s="297">
        <f>IF(W108&lt;=B.2!$L$37,B.2!$M$37,IF(AND(W108&lt;=B.2!$L$36,W108&gt;B.2!$L$37),0+((B.2!$M$37-B.2!$M$36)/(B.2!$L$37-B.2!$L$36))*(W108-B.2!$L$36),0))</f>
        <v>40</v>
      </c>
      <c r="Y108" s="420"/>
      <c r="Z108" s="297">
        <v>14</v>
      </c>
      <c r="AA108" s="297">
        <f>IF(Z108&lt;=B.2!$L$39,B.2!$M$39,IF(AND(Z108&lt;=B.2!$L$38,Z108&gt;B.2!$L$39),0+((B.2!$M$39-B.2!$M$38)/(B.2!$L$39-B.2!$L$38))*(Z108-B.2!$L$38),0))</f>
        <v>30</v>
      </c>
      <c r="AB108" s="421"/>
      <c r="AC108" s="297">
        <v>14</v>
      </c>
      <c r="AD108" s="297">
        <f>IF(AC108&lt;=B.2!$L$41,B.2!$M$41,IF(AND(AC108&lt;=B.2!$L$40,AC108&gt;B.2!$L$41),0+((B.2!$M$41-B.2!$M$40)/(B.2!$L$41-B.2!$L$40))*(AC108-B.2!$L$40),0))</f>
        <v>120</v>
      </c>
      <c r="AE108" s="421"/>
      <c r="AF108" s="297">
        <v>14</v>
      </c>
      <c r="AG108" s="297">
        <f>IF(AF108&lt;=B.2!$L$43,B.2!$M$43,IF(AND(AF108&lt;=B.2!$L$42,AF108&gt;B.2!$L$43),0+((B.2!$M$43-B.2!$M$42)/(B.2!$L$43-B.2!$L$42))*(AF108-B.2!$L$42),0))</f>
        <v>56.25</v>
      </c>
      <c r="AH108" s="146"/>
    </row>
    <row r="109" spans="2:34">
      <c r="B109" s="145"/>
      <c r="C109" s="296">
        <v>15</v>
      </c>
      <c r="D109" s="296">
        <f>IF(C109&lt;=B.2!$G$35,B.2!$H$35,IF(AND(C109&lt;=B.2!$G$34,C109&gt;B.2!$G$35),0+((B.2!$H$35-B.2!$H$34)/(B.2!$G$35-B.2!$G$34))*(C109-B.2!$G$34),0))</f>
        <v>22.023809523809522</v>
      </c>
      <c r="E109" s="419"/>
      <c r="F109" s="296">
        <v>15</v>
      </c>
      <c r="G109" s="296">
        <f>IF(F109&lt;=B.2!$G$37,B.2!$H$37,IF(AND(F109&lt;=B.2!$G$36,F109&gt;B.2!$G$37),0+((B.2!$H$37-B.2!$H$36)/(B.2!$G$37-B.2!$G$36))*(F109-B.2!$G$36),0))</f>
        <v>40</v>
      </c>
      <c r="H109" s="276"/>
      <c r="I109" s="296">
        <v>15</v>
      </c>
      <c r="J109" s="296">
        <f>IF(I109&lt;=B.2!$G$39,B.2!$H$39,IF(AND(I109&lt;=B.2!$G$38,I109&gt;B.2!$G$39),0+((B.2!$H$39-B.2!$H$38)/(B.2!$G$39-B.2!$G$38))*(I109-B.2!$G$38),0))</f>
        <v>25</v>
      </c>
      <c r="K109" s="419"/>
      <c r="L109" s="296">
        <v>15</v>
      </c>
      <c r="M109" s="296">
        <f>IF(L109&lt;=B.2!$G$41,B.2!$H$41,IF(AND(L109&lt;=B.2!$G$40,L109&gt;B.2!$G$41),0+((B.2!$H$41-B.2!$H$40)/(B.2!$G$41-B.2!$G$40))*(L109-B.2!$G$40),0))</f>
        <v>120</v>
      </c>
      <c r="N109" s="419"/>
      <c r="O109" s="296">
        <v>15</v>
      </c>
      <c r="P109" s="296">
        <f>IF(O109&lt;=B.2!$G$43,B.2!$H$43,IF(AND(O109&lt;=B.2!$G$42,O109&gt;B.2!$G$43),0+((B.2!$H$43-B.2!$H$42)/(B.2!$G$43-B.2!$G$42))*(O109-B.2!$G$42),0))</f>
        <v>22.5</v>
      </c>
      <c r="Q109" s="276"/>
      <c r="R109" s="295"/>
      <c r="S109" s="420"/>
      <c r="T109" s="297">
        <v>15</v>
      </c>
      <c r="U109" s="297">
        <f>IF(T109&lt;=B.2!$L$35,B.2!$M$35,IF(AND(T109&lt;=B.2!$L$34,T109&gt;B.2!$L$35),0+((B.2!$M$35-B.2!$M$34)/(B.2!$L$35-B.2!$L$34))*(T109-B.2!$L$34),0))</f>
        <v>25</v>
      </c>
      <c r="V109" s="421"/>
      <c r="W109" s="297">
        <v>15</v>
      </c>
      <c r="X109" s="297">
        <f>IF(W109&lt;=B.2!$L$37,B.2!$M$37,IF(AND(W109&lt;=B.2!$L$36,W109&gt;B.2!$L$37),0+((B.2!$M$37-B.2!$M$36)/(B.2!$L$37-B.2!$L$36))*(W109-B.2!$L$36),0))</f>
        <v>40</v>
      </c>
      <c r="Y109" s="420"/>
      <c r="Z109" s="297">
        <v>15</v>
      </c>
      <c r="AA109" s="297">
        <f>IF(Z109&lt;=B.2!$L$39,B.2!$M$39,IF(AND(Z109&lt;=B.2!$L$38,Z109&gt;B.2!$L$39),0+((B.2!$M$39-B.2!$M$38)/(B.2!$L$39-B.2!$L$38))*(Z109-B.2!$L$38),0))</f>
        <v>30</v>
      </c>
      <c r="AB109" s="421"/>
      <c r="AC109" s="297">
        <v>15</v>
      </c>
      <c r="AD109" s="297">
        <f>IF(AC109&lt;=B.2!$L$41,B.2!$M$41,IF(AND(AC109&lt;=B.2!$L$40,AC109&gt;B.2!$L$41),0+((B.2!$M$41-B.2!$M$40)/(B.2!$L$41-B.2!$L$40))*(AC109-B.2!$L$40),0))</f>
        <v>120</v>
      </c>
      <c r="AE109" s="421"/>
      <c r="AF109" s="297">
        <v>15</v>
      </c>
      <c r="AG109" s="297">
        <f>IF(AF109&lt;=B.2!$L$43,B.2!$M$43,IF(AND(AF109&lt;=B.2!$L$42,AF109&gt;B.2!$L$43),0+((B.2!$M$43-B.2!$M$42)/(B.2!$L$43-B.2!$L$42))*(AF109-B.2!$L$42),0))</f>
        <v>50.625</v>
      </c>
      <c r="AH109" s="146"/>
    </row>
    <row r="110" spans="2:34">
      <c r="B110" s="145"/>
      <c r="C110" s="296">
        <v>16</v>
      </c>
      <c r="D110" s="296">
        <f>IF(C110&lt;=B.2!$G$35,B.2!$H$35,IF(AND(C110&lt;=B.2!$G$34,C110&gt;B.2!$G$35),0+((B.2!$H$35-B.2!$H$34)/(B.2!$G$35-B.2!$G$34))*(C110-B.2!$G$34),0))</f>
        <v>21.428571428571427</v>
      </c>
      <c r="E110" s="419"/>
      <c r="F110" s="296">
        <v>16</v>
      </c>
      <c r="G110" s="296">
        <f>IF(F110&lt;=B.2!$G$37,B.2!$H$37,IF(AND(F110&lt;=B.2!$G$36,F110&gt;B.2!$G$37),0+((B.2!$H$37-B.2!$H$36)/(B.2!$G$37-B.2!$G$36))*(F110-B.2!$G$36),0))</f>
        <v>36</v>
      </c>
      <c r="H110" s="276"/>
      <c r="I110" s="296">
        <v>16</v>
      </c>
      <c r="J110" s="296">
        <f>IF(I110&lt;=B.2!$G$39,B.2!$H$39,IF(AND(I110&lt;=B.2!$G$38,I110&gt;B.2!$G$39),0+((B.2!$H$39-B.2!$H$38)/(B.2!$G$39-B.2!$G$38))*(I110-B.2!$G$38),0))</f>
        <v>23.333333333333336</v>
      </c>
      <c r="K110" s="419"/>
      <c r="L110" s="296">
        <v>16</v>
      </c>
      <c r="M110" s="296">
        <f>IF(L110&lt;=B.2!$G$41,B.2!$H$41,IF(AND(L110&lt;=B.2!$G$40,L110&gt;B.2!$G$41),0+((B.2!$H$41-B.2!$H$40)/(B.2!$G$41-B.2!$G$40))*(L110-B.2!$G$40),0))</f>
        <v>120</v>
      </c>
      <c r="N110" s="419"/>
      <c r="O110" s="296">
        <v>16</v>
      </c>
      <c r="P110" s="296">
        <f>IF(O110&lt;=B.2!$G$43,B.2!$H$43,IF(AND(O110&lt;=B.2!$G$42,O110&gt;B.2!$G$43),0+((B.2!$H$43-B.2!$H$42)/(B.2!$G$43-B.2!$G$42))*(O110-B.2!$G$42),0))</f>
        <v>15</v>
      </c>
      <c r="Q110" s="276"/>
      <c r="R110" s="295"/>
      <c r="S110" s="420"/>
      <c r="T110" s="297">
        <v>16</v>
      </c>
      <c r="U110" s="297">
        <f>IF(T110&lt;=B.2!$L$35,B.2!$M$35,IF(AND(T110&lt;=B.2!$L$34,T110&gt;B.2!$L$35),0+((B.2!$M$35-B.2!$M$34)/(B.2!$L$35-B.2!$L$34))*(T110-B.2!$L$34),0))</f>
        <v>25</v>
      </c>
      <c r="V110" s="421"/>
      <c r="W110" s="297">
        <v>16</v>
      </c>
      <c r="X110" s="297">
        <f>IF(W110&lt;=B.2!$L$37,B.2!$M$37,IF(AND(W110&lt;=B.2!$L$36,W110&gt;B.2!$L$37),0+((B.2!$M$37-B.2!$M$36)/(B.2!$L$37-B.2!$L$36))*(W110-B.2!$L$36),0))</f>
        <v>40</v>
      </c>
      <c r="Y110" s="420"/>
      <c r="Z110" s="297">
        <v>16</v>
      </c>
      <c r="AA110" s="297">
        <f>IF(Z110&lt;=B.2!$L$39,B.2!$M$39,IF(AND(Z110&lt;=B.2!$L$38,Z110&gt;B.2!$L$39),0+((B.2!$M$39-B.2!$M$38)/(B.2!$L$39-B.2!$L$38))*(Z110-B.2!$L$38),0))</f>
        <v>30</v>
      </c>
      <c r="AB110" s="421"/>
      <c r="AC110" s="297">
        <v>16</v>
      </c>
      <c r="AD110" s="297">
        <f>IF(AC110&lt;=B.2!$L$41,B.2!$M$41,IF(AND(AC110&lt;=B.2!$L$40,AC110&gt;B.2!$L$41),0+((B.2!$M$41-B.2!$M$40)/(B.2!$L$41-B.2!$L$40))*(AC110-B.2!$L$40),0))</f>
        <v>120</v>
      </c>
      <c r="AE110" s="421"/>
      <c r="AF110" s="297">
        <v>16</v>
      </c>
      <c r="AG110" s="297">
        <f>IF(AF110&lt;=B.2!$L$43,B.2!$M$43,IF(AND(AF110&lt;=B.2!$L$42,AF110&gt;B.2!$L$43),0+((B.2!$M$43-B.2!$M$42)/(B.2!$L$43-B.2!$L$42))*(AF110-B.2!$L$42),0))</f>
        <v>45</v>
      </c>
      <c r="AH110" s="146"/>
    </row>
    <row r="111" spans="2:34">
      <c r="B111" s="145"/>
      <c r="C111" s="296">
        <v>17</v>
      </c>
      <c r="D111" s="296">
        <f>IF(C111&lt;=B.2!$G$35,B.2!$H$35,IF(AND(C111&lt;=B.2!$G$34,C111&gt;B.2!$G$35),0+((B.2!$H$35-B.2!$H$34)/(B.2!$G$35-B.2!$G$34))*(C111-B.2!$G$34),0))</f>
        <v>20.833333333333332</v>
      </c>
      <c r="E111" s="419"/>
      <c r="F111" s="296">
        <v>17</v>
      </c>
      <c r="G111" s="296">
        <f>IF(F111&lt;=B.2!$G$37,B.2!$H$37,IF(AND(F111&lt;=B.2!$G$36,F111&gt;B.2!$G$37),0+((B.2!$H$37-B.2!$H$36)/(B.2!$G$37-B.2!$G$36))*(F111-B.2!$G$36),0))</f>
        <v>32</v>
      </c>
      <c r="H111" s="276"/>
      <c r="I111" s="296">
        <v>17</v>
      </c>
      <c r="J111" s="296">
        <f>IF(I111&lt;=B.2!$G$39,B.2!$H$39,IF(AND(I111&lt;=B.2!$G$38,I111&gt;B.2!$G$39),0+((B.2!$H$39-B.2!$H$38)/(B.2!$G$39-B.2!$G$38))*(I111-B.2!$G$38),0))</f>
        <v>21.666666666666668</v>
      </c>
      <c r="K111" s="419"/>
      <c r="L111" s="296">
        <v>17</v>
      </c>
      <c r="M111" s="296">
        <f>IF(L111&lt;=B.2!$G$41,B.2!$H$41,IF(AND(L111&lt;=B.2!$G$40,L111&gt;B.2!$G$41),0+((B.2!$H$41-B.2!$H$40)/(B.2!$G$41-B.2!$G$40))*(L111-B.2!$G$40),0))</f>
        <v>120</v>
      </c>
      <c r="N111" s="419"/>
      <c r="O111" s="296">
        <v>17</v>
      </c>
      <c r="P111" s="296">
        <f>IF(O111&lt;=B.2!$G$43,B.2!$H$43,IF(AND(O111&lt;=B.2!$G$42,O111&gt;B.2!$G$43),0+((B.2!$H$43-B.2!$H$42)/(B.2!$G$43-B.2!$G$42))*(O111-B.2!$G$42),0))</f>
        <v>7.5</v>
      </c>
      <c r="Q111" s="276"/>
      <c r="R111" s="295"/>
      <c r="S111" s="420"/>
      <c r="T111" s="297">
        <v>17</v>
      </c>
      <c r="U111" s="297">
        <f>IF(T111&lt;=B.2!$L$35,B.2!$M$35,IF(AND(T111&lt;=B.2!$L$34,T111&gt;B.2!$L$35),0+((B.2!$M$35-B.2!$M$34)/(B.2!$L$35-B.2!$L$34))*(T111-B.2!$L$34),0))</f>
        <v>25</v>
      </c>
      <c r="V111" s="421"/>
      <c r="W111" s="297">
        <v>17</v>
      </c>
      <c r="X111" s="297">
        <f>IF(W111&lt;=B.2!$L$37,B.2!$M$37,IF(AND(W111&lt;=B.2!$L$36,W111&gt;B.2!$L$37),0+((B.2!$M$37-B.2!$M$36)/(B.2!$L$37-B.2!$L$36))*(W111-B.2!$L$36),0))</f>
        <v>40</v>
      </c>
      <c r="Y111" s="420"/>
      <c r="Z111" s="297">
        <v>17</v>
      </c>
      <c r="AA111" s="297">
        <f>IF(Z111&lt;=B.2!$L$39,B.2!$M$39,IF(AND(Z111&lt;=B.2!$L$38,Z111&gt;B.2!$L$39),0+((B.2!$M$39-B.2!$M$38)/(B.2!$L$39-B.2!$L$38))*(Z111-B.2!$L$38),0))</f>
        <v>30</v>
      </c>
      <c r="AB111" s="421"/>
      <c r="AC111" s="297">
        <v>17</v>
      </c>
      <c r="AD111" s="297">
        <f>IF(AC111&lt;=B.2!$L$41,B.2!$M$41,IF(AND(AC111&lt;=B.2!$L$40,AC111&gt;B.2!$L$41),0+((B.2!$M$41-B.2!$M$40)/(B.2!$L$41-B.2!$L$40))*(AC111-B.2!$L$40),0))</f>
        <v>120</v>
      </c>
      <c r="AE111" s="421"/>
      <c r="AF111" s="297">
        <v>17</v>
      </c>
      <c r="AG111" s="297">
        <f>IF(AF111&lt;=B.2!$L$43,B.2!$M$43,IF(AND(AF111&lt;=B.2!$L$42,AF111&gt;B.2!$L$43),0+((B.2!$M$43-B.2!$M$42)/(B.2!$L$43-B.2!$L$42))*(AF111-B.2!$L$42),0))</f>
        <v>39.375</v>
      </c>
      <c r="AH111" s="146"/>
    </row>
    <row r="112" spans="2:34">
      <c r="B112" s="145"/>
      <c r="C112" s="296">
        <v>18</v>
      </c>
      <c r="D112" s="296">
        <f>IF(C112&lt;=B.2!$G$35,B.2!$H$35,IF(AND(C112&lt;=B.2!$G$34,C112&gt;B.2!$G$35),0+((B.2!$H$35-B.2!$H$34)/(B.2!$G$35-B.2!$G$34))*(C112-B.2!$G$34),0))</f>
        <v>20.238095238095237</v>
      </c>
      <c r="E112" s="419"/>
      <c r="F112" s="296">
        <v>18</v>
      </c>
      <c r="G112" s="296">
        <f>IF(F112&lt;=B.2!$G$37,B.2!$H$37,IF(AND(F112&lt;=B.2!$G$36,F112&gt;B.2!$G$37),0+((B.2!$H$37-B.2!$H$36)/(B.2!$G$37-B.2!$G$36))*(F112-B.2!$G$36),0))</f>
        <v>28</v>
      </c>
      <c r="H112" s="276"/>
      <c r="I112" s="296">
        <v>18</v>
      </c>
      <c r="J112" s="296">
        <f>IF(I112&lt;=B.2!$G$39,B.2!$H$39,IF(AND(I112&lt;=B.2!$G$38,I112&gt;B.2!$G$39),0+((B.2!$H$39-B.2!$H$38)/(B.2!$G$39-B.2!$G$38))*(I112-B.2!$G$38),0))</f>
        <v>20</v>
      </c>
      <c r="K112" s="419"/>
      <c r="L112" s="296">
        <v>18</v>
      </c>
      <c r="M112" s="296">
        <f>IF(L112&lt;=B.2!$G$41,B.2!$H$41,IF(AND(L112&lt;=B.2!$G$40,L112&gt;B.2!$G$41),0+((B.2!$H$41-B.2!$H$40)/(B.2!$G$41-B.2!$G$40))*(L112-B.2!$G$40),0))</f>
        <v>120</v>
      </c>
      <c r="N112" s="419"/>
      <c r="O112" s="296">
        <v>18</v>
      </c>
      <c r="P112" s="296">
        <f>IF(O112&lt;=B.2!$G$43,B.2!$H$43,IF(AND(O112&lt;=B.2!$G$42,O112&gt;B.2!$G$43),0+((B.2!$H$43-B.2!$H$42)/(B.2!$G$43-B.2!$G$42))*(O112-B.2!$G$42),0))</f>
        <v>0</v>
      </c>
      <c r="Q112" s="276"/>
      <c r="R112" s="295"/>
      <c r="S112" s="420"/>
      <c r="T112" s="297">
        <v>18</v>
      </c>
      <c r="U112" s="297">
        <f>IF(T112&lt;=B.2!$L$35,B.2!$M$35,IF(AND(T112&lt;=B.2!$L$34,T112&gt;B.2!$L$35),0+((B.2!$M$35-B.2!$M$34)/(B.2!$L$35-B.2!$L$34))*(T112-B.2!$L$34),0))</f>
        <v>25</v>
      </c>
      <c r="V112" s="421"/>
      <c r="W112" s="297">
        <v>18</v>
      </c>
      <c r="X112" s="297">
        <f>IF(W112&lt;=B.2!$L$37,B.2!$M$37,IF(AND(W112&lt;=B.2!$L$36,W112&gt;B.2!$L$37),0+((B.2!$M$37-B.2!$M$36)/(B.2!$L$37-B.2!$L$36))*(W112-B.2!$L$36),0))</f>
        <v>36.923076923076927</v>
      </c>
      <c r="Y112" s="420"/>
      <c r="Z112" s="297">
        <v>18</v>
      </c>
      <c r="AA112" s="297">
        <f>IF(Z112&lt;=B.2!$L$39,B.2!$M$39,IF(AND(Z112&lt;=B.2!$L$38,Z112&gt;B.2!$L$39),0+((B.2!$M$39-B.2!$M$38)/(B.2!$L$39-B.2!$L$38))*(Z112-B.2!$L$38),0))</f>
        <v>30</v>
      </c>
      <c r="AB112" s="421"/>
      <c r="AC112" s="297">
        <v>18</v>
      </c>
      <c r="AD112" s="297">
        <f>IF(AC112&lt;=B.2!$L$41,B.2!$M$41,IF(AND(AC112&lt;=B.2!$L$40,AC112&gt;B.2!$L$41),0+((B.2!$M$41-B.2!$M$40)/(B.2!$L$41-B.2!$L$40))*(AC112-B.2!$L$40),0))</f>
        <v>120</v>
      </c>
      <c r="AE112" s="421"/>
      <c r="AF112" s="297">
        <v>18</v>
      </c>
      <c r="AG112" s="297">
        <f>IF(AF112&lt;=B.2!$L$43,B.2!$M$43,IF(AND(AF112&lt;=B.2!$L$42,AF112&gt;B.2!$L$43),0+((B.2!$M$43-B.2!$M$42)/(B.2!$L$43-B.2!$L$42))*(AF112-B.2!$L$42),0))</f>
        <v>33.75</v>
      </c>
      <c r="AH112" s="146"/>
    </row>
    <row r="113" spans="2:34">
      <c r="B113" s="145"/>
      <c r="C113" s="296">
        <v>19</v>
      </c>
      <c r="D113" s="296">
        <f>IF(C113&lt;=B.2!$G$35,B.2!$H$35,IF(AND(C113&lt;=B.2!$G$34,C113&gt;B.2!$G$35),0+((B.2!$H$35-B.2!$H$34)/(B.2!$G$35-B.2!$G$34))*(C113-B.2!$G$34),0))</f>
        <v>19.642857142857142</v>
      </c>
      <c r="E113" s="419"/>
      <c r="F113" s="296">
        <v>19</v>
      </c>
      <c r="G113" s="296">
        <f>IF(F113&lt;=B.2!$G$37,B.2!$H$37,IF(AND(F113&lt;=B.2!$G$36,F113&gt;B.2!$G$37),0+((B.2!$H$37-B.2!$H$36)/(B.2!$G$37-B.2!$G$36))*(F113-B.2!$G$36),0))</f>
        <v>24</v>
      </c>
      <c r="H113" s="276"/>
      <c r="I113" s="296">
        <v>19</v>
      </c>
      <c r="J113" s="296">
        <f>IF(I113&lt;=B.2!$G$39,B.2!$H$39,IF(AND(I113&lt;=B.2!$G$38,I113&gt;B.2!$G$39),0+((B.2!$H$39-B.2!$H$38)/(B.2!$G$39-B.2!$G$38))*(I113-B.2!$G$38),0))</f>
        <v>18.333333333333336</v>
      </c>
      <c r="K113" s="419"/>
      <c r="L113" s="296">
        <v>19</v>
      </c>
      <c r="M113" s="296">
        <f>IF(L113&lt;=B.2!$G$41,B.2!$H$41,IF(AND(L113&lt;=B.2!$G$40,L113&gt;B.2!$G$41),0+((B.2!$H$41-B.2!$H$40)/(B.2!$G$41-B.2!$G$40))*(L113-B.2!$G$40),0))</f>
        <v>120</v>
      </c>
      <c r="N113" s="419"/>
      <c r="O113" s="296">
        <v>19</v>
      </c>
      <c r="P113" s="296">
        <f>IF(O113&lt;=B.2!$G$43,B.2!$H$43,IF(AND(O113&lt;=B.2!$G$42,O113&gt;B.2!$G$43),0+((B.2!$H$43-B.2!$H$42)/(B.2!$G$43-B.2!$G$42))*(O113-B.2!$G$42),0))</f>
        <v>0</v>
      </c>
      <c r="Q113" s="276"/>
      <c r="R113" s="295"/>
      <c r="S113" s="420"/>
      <c r="T113" s="297">
        <v>19</v>
      </c>
      <c r="U113" s="297">
        <f>IF(T113&lt;=B.2!$L$35,B.2!$M$35,IF(AND(T113&lt;=B.2!$L$34,T113&gt;B.2!$L$35),0+((B.2!$M$35-B.2!$M$34)/(B.2!$L$35-B.2!$L$34))*(T113-B.2!$L$34),0))</f>
        <v>25</v>
      </c>
      <c r="V113" s="421"/>
      <c r="W113" s="297">
        <v>19</v>
      </c>
      <c r="X113" s="297">
        <f>IF(W113&lt;=B.2!$L$37,B.2!$M$37,IF(AND(W113&lt;=B.2!$L$36,W113&gt;B.2!$L$37),0+((B.2!$M$37-B.2!$M$36)/(B.2!$L$37-B.2!$L$36))*(W113-B.2!$L$36),0))</f>
        <v>33.846153846153847</v>
      </c>
      <c r="Y113" s="420"/>
      <c r="Z113" s="297">
        <v>19</v>
      </c>
      <c r="AA113" s="297">
        <f>IF(Z113&lt;=B.2!$L$39,B.2!$M$39,IF(AND(Z113&lt;=B.2!$L$38,Z113&gt;B.2!$L$39),0+((B.2!$M$39-B.2!$M$38)/(B.2!$L$39-B.2!$L$38))*(Z113-B.2!$L$38),0))</f>
        <v>30</v>
      </c>
      <c r="AB113" s="421"/>
      <c r="AC113" s="297">
        <v>19</v>
      </c>
      <c r="AD113" s="297">
        <f>IF(AC113&lt;=B.2!$L$41,B.2!$M$41,IF(AND(AC113&lt;=B.2!$L$40,AC113&gt;B.2!$L$41),0+((B.2!$M$41-B.2!$M$40)/(B.2!$L$41-B.2!$L$40))*(AC113-B.2!$L$40),0))</f>
        <v>120</v>
      </c>
      <c r="AE113" s="421"/>
      <c r="AF113" s="297">
        <v>19</v>
      </c>
      <c r="AG113" s="297">
        <f>IF(AF113&lt;=B.2!$L$43,B.2!$M$43,IF(AND(AF113&lt;=B.2!$L$42,AF113&gt;B.2!$L$43),0+((B.2!$M$43-B.2!$M$42)/(B.2!$L$43-B.2!$L$42))*(AF113-B.2!$L$42),0))</f>
        <v>28.125</v>
      </c>
      <c r="AH113" s="146"/>
    </row>
    <row r="114" spans="2:34">
      <c r="B114" s="145"/>
      <c r="C114" s="296">
        <v>20</v>
      </c>
      <c r="D114" s="296">
        <f>IF(C114&lt;=B.2!$G$35,B.2!$H$35,IF(AND(C114&lt;=B.2!$G$34,C114&gt;B.2!$G$35),0+((B.2!$H$35-B.2!$H$34)/(B.2!$G$35-B.2!$G$34))*(C114-B.2!$G$34),0))</f>
        <v>19.047619047619047</v>
      </c>
      <c r="E114" s="419"/>
      <c r="F114" s="296">
        <v>20</v>
      </c>
      <c r="G114" s="296">
        <f>IF(F114&lt;=B.2!$G$37,B.2!$H$37,IF(AND(F114&lt;=B.2!$G$36,F114&gt;B.2!$G$37),0+((B.2!$H$37-B.2!$H$36)/(B.2!$G$37-B.2!$G$36))*(F114-B.2!$G$36),0))</f>
        <v>20</v>
      </c>
      <c r="H114" s="276"/>
      <c r="I114" s="296">
        <v>20</v>
      </c>
      <c r="J114" s="296">
        <f>IF(I114&lt;=B.2!$G$39,B.2!$H$39,IF(AND(I114&lt;=B.2!$G$38,I114&gt;B.2!$G$39),0+((B.2!$H$39-B.2!$H$38)/(B.2!$G$39-B.2!$G$38))*(I114-B.2!$G$38),0))</f>
        <v>16.666666666666668</v>
      </c>
      <c r="K114" s="419"/>
      <c r="L114" s="296">
        <v>20</v>
      </c>
      <c r="M114" s="296">
        <f>IF(L114&lt;=B.2!$G$41,B.2!$H$41,IF(AND(L114&lt;=B.2!$G$40,L114&gt;B.2!$G$41),0+((B.2!$H$41-B.2!$H$40)/(B.2!$G$41-B.2!$G$40))*(L114-B.2!$G$40),0))</f>
        <v>120</v>
      </c>
      <c r="N114" s="419"/>
      <c r="O114" s="296">
        <v>20</v>
      </c>
      <c r="P114" s="296">
        <f>IF(O114&lt;=B.2!$G$43,B.2!$H$43,IF(AND(O114&lt;=B.2!$G$42,O114&gt;B.2!$G$43),0+((B.2!$H$43-B.2!$H$42)/(B.2!$G$43-B.2!$G$42))*(O114-B.2!$G$42),0))</f>
        <v>0</v>
      </c>
      <c r="Q114" s="276"/>
      <c r="R114" s="295"/>
      <c r="S114" s="420"/>
      <c r="T114" s="297">
        <v>20</v>
      </c>
      <c r="U114" s="297">
        <f>IF(T114&lt;=B.2!$L$35,B.2!$M$35,IF(AND(T114&lt;=B.2!$L$34,T114&gt;B.2!$L$35),0+((B.2!$M$35-B.2!$M$34)/(B.2!$L$35-B.2!$L$34))*(T114-B.2!$L$34),0))</f>
        <v>25</v>
      </c>
      <c r="V114" s="421"/>
      <c r="W114" s="297">
        <v>20</v>
      </c>
      <c r="X114" s="297">
        <f>IF(W114&lt;=B.2!$L$37,B.2!$M$37,IF(AND(W114&lt;=B.2!$L$36,W114&gt;B.2!$L$37),0+((B.2!$M$37-B.2!$M$36)/(B.2!$L$37-B.2!$L$36))*(W114-B.2!$L$36),0))</f>
        <v>30.76923076923077</v>
      </c>
      <c r="Y114" s="420"/>
      <c r="Z114" s="297">
        <v>20</v>
      </c>
      <c r="AA114" s="297">
        <f>IF(Z114&lt;=B.2!$L$39,B.2!$M$39,IF(AND(Z114&lt;=B.2!$L$38,Z114&gt;B.2!$L$39),0+((B.2!$M$39-B.2!$M$38)/(B.2!$L$39-B.2!$L$38))*(Z114-B.2!$L$38),0))</f>
        <v>30</v>
      </c>
      <c r="AB114" s="421"/>
      <c r="AC114" s="297">
        <v>20</v>
      </c>
      <c r="AD114" s="297">
        <f>IF(AC114&lt;=B.2!$L$41,B.2!$M$41,IF(AND(AC114&lt;=B.2!$L$40,AC114&gt;B.2!$L$41),0+((B.2!$M$41-B.2!$M$40)/(B.2!$L$41-B.2!$L$40))*(AC114-B.2!$L$40),0))</f>
        <v>120</v>
      </c>
      <c r="AE114" s="421"/>
      <c r="AF114" s="297">
        <v>20</v>
      </c>
      <c r="AG114" s="297">
        <f>IF(AF114&lt;=B.2!$L$43,B.2!$M$43,IF(AND(AF114&lt;=B.2!$L$42,AF114&gt;B.2!$L$43),0+((B.2!$M$43-B.2!$M$42)/(B.2!$L$43-B.2!$L$42))*(AF114-B.2!$L$42),0))</f>
        <v>22.5</v>
      </c>
      <c r="AH114" s="146"/>
    </row>
    <row r="115" spans="2:34">
      <c r="B115" s="145"/>
      <c r="C115" s="296">
        <v>21</v>
      </c>
      <c r="D115" s="296">
        <f>IF(C115&lt;=B.2!$G$35,B.2!$H$35,IF(AND(C115&lt;=B.2!$G$34,C115&gt;B.2!$G$35),0+((B.2!$H$35-B.2!$H$34)/(B.2!$G$35-B.2!$G$34))*(C115-B.2!$G$34),0))</f>
        <v>18.452380952380953</v>
      </c>
      <c r="E115" s="419"/>
      <c r="F115" s="296">
        <v>21</v>
      </c>
      <c r="G115" s="296">
        <f>IF(F115&lt;=B.2!$G$37,B.2!$H$37,IF(AND(F115&lt;=B.2!$G$36,F115&gt;B.2!$G$37),0+((B.2!$H$37-B.2!$H$36)/(B.2!$G$37-B.2!$G$36))*(F115-B.2!$G$36),0))</f>
        <v>16</v>
      </c>
      <c r="H115" s="276"/>
      <c r="I115" s="296">
        <v>21</v>
      </c>
      <c r="J115" s="296">
        <f>IF(I115&lt;=B.2!$G$39,B.2!$H$39,IF(AND(I115&lt;=B.2!$G$38,I115&gt;B.2!$G$39),0+((B.2!$H$39-B.2!$H$38)/(B.2!$G$39-B.2!$G$38))*(I115-B.2!$G$38),0))</f>
        <v>15</v>
      </c>
      <c r="K115" s="419"/>
      <c r="L115" s="296">
        <v>21</v>
      </c>
      <c r="M115" s="296">
        <f>IF(L115&lt;=B.2!$G$41,B.2!$H$41,IF(AND(L115&lt;=B.2!$G$40,L115&gt;B.2!$G$41),0+((B.2!$H$41-B.2!$H$40)/(B.2!$G$41-B.2!$G$40))*(L115-B.2!$G$40),0))</f>
        <v>120</v>
      </c>
      <c r="N115" s="419"/>
      <c r="O115" s="296">
        <v>21</v>
      </c>
      <c r="P115" s="296">
        <f>IF(O115&lt;=B.2!$G$43,B.2!$H$43,IF(AND(O115&lt;=B.2!$G$42,O115&gt;B.2!$G$43),0+((B.2!$H$43-B.2!$H$42)/(B.2!$G$43-B.2!$G$42))*(O115-B.2!$G$42),0))</f>
        <v>0</v>
      </c>
      <c r="Q115" s="276"/>
      <c r="R115" s="295"/>
      <c r="S115" s="420"/>
      <c r="T115" s="297">
        <v>21</v>
      </c>
      <c r="U115" s="297">
        <f>IF(T115&lt;=B.2!$L$35,B.2!$M$35,IF(AND(T115&lt;=B.2!$L$34,T115&gt;B.2!$L$35),0+((B.2!$M$35-B.2!$M$34)/(B.2!$L$35-B.2!$L$34))*(T115-B.2!$L$34),0))</f>
        <v>25</v>
      </c>
      <c r="V115" s="421"/>
      <c r="W115" s="297">
        <v>21</v>
      </c>
      <c r="X115" s="297">
        <f>IF(W115&lt;=B.2!$L$37,B.2!$M$37,IF(AND(W115&lt;=B.2!$L$36,W115&gt;B.2!$L$37),0+((B.2!$M$37-B.2!$M$36)/(B.2!$L$37-B.2!$L$36))*(W115-B.2!$L$36),0))</f>
        <v>27.692307692307693</v>
      </c>
      <c r="Y115" s="420"/>
      <c r="Z115" s="297">
        <v>21</v>
      </c>
      <c r="AA115" s="297">
        <f>IF(Z115&lt;=B.2!$L$39,B.2!$M$39,IF(AND(Z115&lt;=B.2!$L$38,Z115&gt;B.2!$L$39),0+((B.2!$M$39-B.2!$M$38)/(B.2!$L$39-B.2!$L$38))*(Z115-B.2!$L$38),0))</f>
        <v>29</v>
      </c>
      <c r="AB115" s="421"/>
      <c r="AC115" s="297">
        <v>21</v>
      </c>
      <c r="AD115" s="297">
        <f>IF(AC115&lt;=B.2!$L$41,B.2!$M$41,IF(AND(AC115&lt;=B.2!$L$40,AC115&gt;B.2!$L$41),0+((B.2!$M$41-B.2!$M$40)/(B.2!$L$41-B.2!$L$40))*(AC115-B.2!$L$40),0))</f>
        <v>120</v>
      </c>
      <c r="AE115" s="421"/>
      <c r="AF115" s="297">
        <v>21</v>
      </c>
      <c r="AG115" s="297">
        <f>IF(AF115&lt;=B.2!$L$43,B.2!$M$43,IF(AND(AF115&lt;=B.2!$L$42,AF115&gt;B.2!$L$43),0+((B.2!$M$43-B.2!$M$42)/(B.2!$L$43-B.2!$L$42))*(AF115-B.2!$L$42),0))</f>
        <v>16.875</v>
      </c>
      <c r="AH115" s="146"/>
    </row>
    <row r="116" spans="2:34">
      <c r="B116" s="145"/>
      <c r="C116" s="296">
        <v>22</v>
      </c>
      <c r="D116" s="296">
        <f>IF(C116&lt;=B.2!$G$35,B.2!$H$35,IF(AND(C116&lt;=B.2!$G$34,C116&gt;B.2!$G$35),0+((B.2!$H$35-B.2!$H$34)/(B.2!$G$35-B.2!$G$34))*(C116-B.2!$G$34),0))</f>
        <v>17.857142857142858</v>
      </c>
      <c r="E116" s="419"/>
      <c r="F116" s="296">
        <v>22</v>
      </c>
      <c r="G116" s="296">
        <f>IF(F116&lt;=B.2!$G$37,B.2!$H$37,IF(AND(F116&lt;=B.2!$G$36,F116&gt;B.2!$G$37),0+((B.2!$H$37-B.2!$H$36)/(B.2!$G$37-B.2!$G$36))*(F116-B.2!$G$36),0))</f>
        <v>12</v>
      </c>
      <c r="H116" s="276"/>
      <c r="I116" s="296">
        <v>22</v>
      </c>
      <c r="J116" s="296">
        <f>IF(I116&lt;=B.2!$G$39,B.2!$H$39,IF(AND(I116&lt;=B.2!$G$38,I116&gt;B.2!$G$39),0+((B.2!$H$39-B.2!$H$38)/(B.2!$G$39-B.2!$G$38))*(I116-B.2!$G$38),0))</f>
        <v>13.333333333333334</v>
      </c>
      <c r="K116" s="419"/>
      <c r="L116" s="296">
        <v>22</v>
      </c>
      <c r="M116" s="296">
        <f>IF(L116&lt;=B.2!$G$41,B.2!$H$41,IF(AND(L116&lt;=B.2!$G$40,L116&gt;B.2!$G$41),0+((B.2!$H$41-B.2!$H$40)/(B.2!$G$41-B.2!$G$40))*(L116-B.2!$G$40),0))</f>
        <v>120</v>
      </c>
      <c r="N116" s="419"/>
      <c r="O116" s="296">
        <v>22</v>
      </c>
      <c r="P116" s="296">
        <f>IF(O116&lt;=B.2!$G$43,B.2!$H$43,IF(AND(O116&lt;=B.2!$G$42,O116&gt;B.2!$G$43),0+((B.2!$H$43-B.2!$H$42)/(B.2!$G$43-B.2!$G$42))*(O116-B.2!$G$42),0))</f>
        <v>0</v>
      </c>
      <c r="Q116" s="276"/>
      <c r="R116" s="295"/>
      <c r="S116" s="420"/>
      <c r="T116" s="297">
        <v>22</v>
      </c>
      <c r="U116" s="297">
        <f>IF(T116&lt;=B.2!$L$35,B.2!$M$35,IF(AND(T116&lt;=B.2!$L$34,T116&gt;B.2!$L$35),0+((B.2!$M$35-B.2!$M$34)/(B.2!$L$35-B.2!$L$34))*(T116-B.2!$L$34),0))</f>
        <v>25</v>
      </c>
      <c r="V116" s="421"/>
      <c r="W116" s="297">
        <v>22</v>
      </c>
      <c r="X116" s="297">
        <f>IF(W116&lt;=B.2!$L$37,B.2!$M$37,IF(AND(W116&lt;=B.2!$L$36,W116&gt;B.2!$L$37),0+((B.2!$M$37-B.2!$M$36)/(B.2!$L$37-B.2!$L$36))*(W116-B.2!$L$36),0))</f>
        <v>24.615384615384617</v>
      </c>
      <c r="Y116" s="420"/>
      <c r="Z116" s="297">
        <v>22</v>
      </c>
      <c r="AA116" s="297">
        <f>IF(Z116&lt;=B.2!$L$39,B.2!$M$39,IF(AND(Z116&lt;=B.2!$L$38,Z116&gt;B.2!$L$39),0+((B.2!$M$39-B.2!$M$38)/(B.2!$L$39-B.2!$L$38))*(Z116-B.2!$L$38),0))</f>
        <v>28</v>
      </c>
      <c r="AB116" s="421"/>
      <c r="AC116" s="297">
        <v>22</v>
      </c>
      <c r="AD116" s="297">
        <f>IF(AC116&lt;=B.2!$L$41,B.2!$M$41,IF(AND(AC116&lt;=B.2!$L$40,AC116&gt;B.2!$L$41),0+((B.2!$M$41-B.2!$M$40)/(B.2!$L$41-B.2!$L$40))*(AC116-B.2!$L$40),0))</f>
        <v>120</v>
      </c>
      <c r="AE116" s="421"/>
      <c r="AF116" s="297">
        <v>22</v>
      </c>
      <c r="AG116" s="297">
        <f>IF(AF116&lt;=B.2!$L$43,B.2!$M$43,IF(AND(AF116&lt;=B.2!$L$42,AF116&gt;B.2!$L$43),0+((B.2!$M$43-B.2!$M$42)/(B.2!$L$43-B.2!$L$42))*(AF116-B.2!$L$42),0))</f>
        <v>11.25</v>
      </c>
      <c r="AH116" s="146"/>
    </row>
    <row r="117" spans="2:34">
      <c r="B117" s="145"/>
      <c r="C117" s="296">
        <v>23</v>
      </c>
      <c r="D117" s="296">
        <f>IF(C117&lt;=B.2!$G$35,B.2!$H$35,IF(AND(C117&lt;=B.2!$G$34,C117&gt;B.2!$G$35),0+((B.2!$H$35-B.2!$H$34)/(B.2!$G$35-B.2!$G$34))*(C117-B.2!$G$34),0))</f>
        <v>17.261904761904763</v>
      </c>
      <c r="E117" s="419"/>
      <c r="F117" s="296">
        <v>23</v>
      </c>
      <c r="G117" s="296">
        <f>IF(F117&lt;=B.2!$G$37,B.2!$H$37,IF(AND(F117&lt;=B.2!$G$36,F117&gt;B.2!$G$37),0+((B.2!$H$37-B.2!$H$36)/(B.2!$G$37-B.2!$G$36))*(F117-B.2!$G$36),0))</f>
        <v>8</v>
      </c>
      <c r="H117" s="276"/>
      <c r="I117" s="296">
        <v>23</v>
      </c>
      <c r="J117" s="296">
        <f>IF(I117&lt;=B.2!$G$39,B.2!$H$39,IF(AND(I117&lt;=B.2!$G$38,I117&gt;B.2!$G$39),0+((B.2!$H$39-B.2!$H$38)/(B.2!$G$39-B.2!$G$38))*(I117-B.2!$G$38),0))</f>
        <v>11.666666666666668</v>
      </c>
      <c r="K117" s="419"/>
      <c r="L117" s="296">
        <v>23</v>
      </c>
      <c r="M117" s="296">
        <f>IF(L117&lt;=B.2!$G$41,B.2!$H$41,IF(AND(L117&lt;=B.2!$G$40,L117&gt;B.2!$G$41),0+((B.2!$H$41-B.2!$H$40)/(B.2!$G$41-B.2!$G$40))*(L117-B.2!$G$40),0))</f>
        <v>120</v>
      </c>
      <c r="N117" s="419"/>
      <c r="O117" s="296">
        <v>23</v>
      </c>
      <c r="P117" s="296">
        <f>IF(O117&lt;=B.2!$G$43,B.2!$H$43,IF(AND(O117&lt;=B.2!$G$42,O117&gt;B.2!$G$43),0+((B.2!$H$43-B.2!$H$42)/(B.2!$G$43-B.2!$G$42))*(O117-B.2!$G$42),0))</f>
        <v>0</v>
      </c>
      <c r="Q117" s="276"/>
      <c r="R117" s="295"/>
      <c r="S117" s="420"/>
      <c r="T117" s="297">
        <v>23</v>
      </c>
      <c r="U117" s="297">
        <f>IF(T117&lt;=B.2!$L$35,B.2!$M$35,IF(AND(T117&lt;=B.2!$L$34,T117&gt;B.2!$L$35),0+((B.2!$M$35-B.2!$M$34)/(B.2!$L$35-B.2!$L$34))*(T117-B.2!$L$34),0))</f>
        <v>24.375</v>
      </c>
      <c r="V117" s="421"/>
      <c r="W117" s="297">
        <v>23</v>
      </c>
      <c r="X117" s="297">
        <f>IF(W117&lt;=B.2!$L$37,B.2!$M$37,IF(AND(W117&lt;=B.2!$L$36,W117&gt;B.2!$L$37),0+((B.2!$M$37-B.2!$M$36)/(B.2!$L$37-B.2!$L$36))*(W117-B.2!$L$36),0))</f>
        <v>21.53846153846154</v>
      </c>
      <c r="Y117" s="420"/>
      <c r="Z117" s="297">
        <v>23</v>
      </c>
      <c r="AA117" s="297">
        <f>IF(Z117&lt;=B.2!$L$39,B.2!$M$39,IF(AND(Z117&lt;=B.2!$L$38,Z117&gt;B.2!$L$39),0+((B.2!$M$39-B.2!$M$38)/(B.2!$L$39-B.2!$L$38))*(Z117-B.2!$L$38),0))</f>
        <v>27</v>
      </c>
      <c r="AB117" s="421"/>
      <c r="AC117" s="297">
        <v>23</v>
      </c>
      <c r="AD117" s="297">
        <f>IF(AC117&lt;=B.2!$L$41,B.2!$M$41,IF(AND(AC117&lt;=B.2!$L$40,AC117&gt;B.2!$L$41),0+((B.2!$M$41-B.2!$M$40)/(B.2!$L$41-B.2!$L$40))*(AC117-B.2!$L$40),0))</f>
        <v>120</v>
      </c>
      <c r="AE117" s="421"/>
      <c r="AF117" s="297">
        <v>23</v>
      </c>
      <c r="AG117" s="297">
        <f>IF(AF117&lt;=B.2!$L$43,B.2!$M$43,IF(AND(AF117&lt;=B.2!$L$42,AF117&gt;B.2!$L$43),0+((B.2!$M$43-B.2!$M$42)/(B.2!$L$43-B.2!$L$42))*(AF117-B.2!$L$42),0))</f>
        <v>5.625</v>
      </c>
      <c r="AH117" s="146"/>
    </row>
    <row r="118" spans="2:34">
      <c r="B118" s="145"/>
      <c r="C118" s="296">
        <v>24</v>
      </c>
      <c r="D118" s="296">
        <f>IF(C118&lt;=B.2!$G$35,B.2!$H$35,IF(AND(C118&lt;=B.2!$G$34,C118&gt;B.2!$G$35),0+((B.2!$H$35-B.2!$H$34)/(B.2!$G$35-B.2!$G$34))*(C118-B.2!$G$34),0))</f>
        <v>16.666666666666668</v>
      </c>
      <c r="E118" s="419"/>
      <c r="F118" s="296">
        <v>24</v>
      </c>
      <c r="G118" s="296">
        <f>IF(F118&lt;=B.2!$G$37,B.2!$H$37,IF(AND(F118&lt;=B.2!$G$36,F118&gt;B.2!$G$37),0+((B.2!$H$37-B.2!$H$36)/(B.2!$G$37-B.2!$G$36))*(F118-B.2!$G$36),0))</f>
        <v>4</v>
      </c>
      <c r="H118" s="276"/>
      <c r="I118" s="296">
        <v>24</v>
      </c>
      <c r="J118" s="296">
        <f>IF(I118&lt;=B.2!$G$39,B.2!$H$39,IF(AND(I118&lt;=B.2!$G$38,I118&gt;B.2!$G$39),0+((B.2!$H$39-B.2!$H$38)/(B.2!$G$39-B.2!$G$38))*(I118-B.2!$G$38),0))</f>
        <v>10</v>
      </c>
      <c r="K118" s="419"/>
      <c r="L118" s="296">
        <v>24</v>
      </c>
      <c r="M118" s="296">
        <f>IF(L118&lt;=B.2!$G$41,B.2!$H$41,IF(AND(L118&lt;=B.2!$G$40,L118&gt;B.2!$G$41),0+((B.2!$H$41-B.2!$H$40)/(B.2!$G$41-B.2!$G$40))*(L118-B.2!$G$40),0))</f>
        <v>120</v>
      </c>
      <c r="N118" s="419"/>
      <c r="O118" s="296">
        <v>24</v>
      </c>
      <c r="P118" s="296">
        <f>IF(O118&lt;=B.2!$G$43,B.2!$H$43,IF(AND(O118&lt;=B.2!$G$42,O118&gt;B.2!$G$43),0+((B.2!$H$43-B.2!$H$42)/(B.2!$G$43-B.2!$G$42))*(O118-B.2!$G$42),0))</f>
        <v>0</v>
      </c>
      <c r="Q118" s="276"/>
      <c r="R118" s="295"/>
      <c r="S118" s="420"/>
      <c r="T118" s="297">
        <v>24</v>
      </c>
      <c r="U118" s="297">
        <f>IF(T118&lt;=B.2!$L$35,B.2!$M$35,IF(AND(T118&lt;=B.2!$L$34,T118&gt;B.2!$L$35),0+((B.2!$M$35-B.2!$M$34)/(B.2!$L$35-B.2!$L$34))*(T118-B.2!$L$34),0))</f>
        <v>23.75</v>
      </c>
      <c r="V118" s="421"/>
      <c r="W118" s="297">
        <v>24</v>
      </c>
      <c r="X118" s="297">
        <f>IF(W118&lt;=B.2!$L$37,B.2!$M$37,IF(AND(W118&lt;=B.2!$L$36,W118&gt;B.2!$L$37),0+((B.2!$M$37-B.2!$M$36)/(B.2!$L$37-B.2!$L$36))*(W118-B.2!$L$36),0))</f>
        <v>18.461538461538463</v>
      </c>
      <c r="Y118" s="420"/>
      <c r="Z118" s="297">
        <v>24</v>
      </c>
      <c r="AA118" s="297">
        <f>IF(Z118&lt;=B.2!$L$39,B.2!$M$39,IF(AND(Z118&lt;=B.2!$L$38,Z118&gt;B.2!$L$39),0+((B.2!$M$39-B.2!$M$38)/(B.2!$L$39-B.2!$L$38))*(Z118-B.2!$L$38),0))</f>
        <v>26</v>
      </c>
      <c r="AB118" s="421"/>
      <c r="AC118" s="297">
        <v>24</v>
      </c>
      <c r="AD118" s="297">
        <f>IF(AC118&lt;=B.2!$L$41,B.2!$M$41,IF(AND(AC118&lt;=B.2!$L$40,AC118&gt;B.2!$L$41),0+((B.2!$M$41-B.2!$M$40)/(B.2!$L$41-B.2!$L$40))*(AC118-B.2!$L$40),0))</f>
        <v>120</v>
      </c>
      <c r="AE118" s="421"/>
      <c r="AF118" s="297">
        <v>24</v>
      </c>
      <c r="AG118" s="297">
        <f>IF(AF118&lt;=B.2!$L$43,B.2!$M$43,IF(AND(AF118&lt;=B.2!$L$42,AF118&gt;B.2!$L$43),0+((B.2!$M$43-B.2!$M$42)/(B.2!$L$43-B.2!$L$42))*(AF118-B.2!$L$42),0))</f>
        <v>0</v>
      </c>
      <c r="AH118" s="146"/>
    </row>
    <row r="119" spans="2:34">
      <c r="B119" s="145"/>
      <c r="C119" s="296">
        <v>25</v>
      </c>
      <c r="D119" s="296">
        <f>IF(C119&lt;=B.2!$G$35,B.2!$H$35,IF(AND(C119&lt;=B.2!$G$34,C119&gt;B.2!$G$35),0+((B.2!$H$35-B.2!$H$34)/(B.2!$G$35-B.2!$G$34))*(C119-B.2!$G$34),0))</f>
        <v>16.071428571428573</v>
      </c>
      <c r="E119" s="419"/>
      <c r="F119" s="296">
        <v>25</v>
      </c>
      <c r="G119" s="296">
        <f>IF(F119&lt;=B.2!$G$37,B.2!$H$37,IF(AND(F119&lt;=B.2!$G$36,F119&gt;B.2!$G$37),0+((B.2!$H$37-B.2!$H$36)/(B.2!$G$37-B.2!$G$36))*(F119-B.2!$G$36),0))</f>
        <v>0</v>
      </c>
      <c r="H119" s="276"/>
      <c r="I119" s="296">
        <v>25</v>
      </c>
      <c r="J119" s="296">
        <f>IF(I119&lt;=B.2!$G$39,B.2!$H$39,IF(AND(I119&lt;=B.2!$G$38,I119&gt;B.2!$G$39),0+((B.2!$H$39-B.2!$H$38)/(B.2!$G$39-B.2!$G$38))*(I119-B.2!$G$38),0))</f>
        <v>8.3333333333333339</v>
      </c>
      <c r="K119" s="419"/>
      <c r="L119" s="296">
        <v>25</v>
      </c>
      <c r="M119" s="296">
        <f>IF(L119&lt;=B.2!$G$41,B.2!$H$41,IF(AND(L119&lt;=B.2!$G$40,L119&gt;B.2!$G$41),0+((B.2!$H$41-B.2!$H$40)/(B.2!$G$41-B.2!$G$40))*(L119-B.2!$G$40),0))</f>
        <v>120</v>
      </c>
      <c r="N119" s="419"/>
      <c r="O119" s="296">
        <v>25</v>
      </c>
      <c r="P119" s="296">
        <f>IF(O119&lt;=B.2!$G$43,B.2!$H$43,IF(AND(O119&lt;=B.2!$G$42,O119&gt;B.2!$G$43),0+((B.2!$H$43-B.2!$H$42)/(B.2!$G$43-B.2!$G$42))*(O119-B.2!$G$42),0))</f>
        <v>0</v>
      </c>
      <c r="Q119" s="276"/>
      <c r="R119" s="295"/>
      <c r="S119" s="420"/>
      <c r="T119" s="297">
        <v>25</v>
      </c>
      <c r="U119" s="297">
        <f>IF(T119&lt;=B.2!$L$35,B.2!$M$35,IF(AND(T119&lt;=B.2!$L$34,T119&gt;B.2!$L$35),0+((B.2!$M$35-B.2!$M$34)/(B.2!$L$35-B.2!$L$34))*(T119-B.2!$L$34),0))</f>
        <v>23.125</v>
      </c>
      <c r="V119" s="421"/>
      <c r="W119" s="297">
        <v>25</v>
      </c>
      <c r="X119" s="297">
        <f>IF(W119&lt;=B.2!$L$37,B.2!$M$37,IF(AND(W119&lt;=B.2!$L$36,W119&gt;B.2!$L$37),0+((B.2!$M$37-B.2!$M$36)/(B.2!$L$37-B.2!$L$36))*(W119-B.2!$L$36),0))</f>
        <v>15.384615384615385</v>
      </c>
      <c r="Y119" s="420"/>
      <c r="Z119" s="297">
        <v>25</v>
      </c>
      <c r="AA119" s="297">
        <f>IF(Z119&lt;=B.2!$L$39,B.2!$M$39,IF(AND(Z119&lt;=B.2!$L$38,Z119&gt;B.2!$L$39),0+((B.2!$M$39-B.2!$M$38)/(B.2!$L$39-B.2!$L$38))*(Z119-B.2!$L$38),0))</f>
        <v>25</v>
      </c>
      <c r="AB119" s="421"/>
      <c r="AC119" s="297">
        <v>25</v>
      </c>
      <c r="AD119" s="297">
        <f>IF(AC119&lt;=B.2!$L$41,B.2!$M$41,IF(AND(AC119&lt;=B.2!$L$40,AC119&gt;B.2!$L$41),0+((B.2!$M$41-B.2!$M$40)/(B.2!$L$41-B.2!$L$40))*(AC119-B.2!$L$40),0))</f>
        <v>120</v>
      </c>
      <c r="AE119" s="421"/>
      <c r="AF119" s="297">
        <v>25</v>
      </c>
      <c r="AG119" s="297">
        <f>IF(AF119&lt;=B.2!$L$43,B.2!$M$43,IF(AND(AF119&lt;=B.2!$L$42,AF119&gt;B.2!$L$43),0+((B.2!$M$43-B.2!$M$42)/(B.2!$L$43-B.2!$L$42))*(AF119-B.2!$L$42),0))</f>
        <v>0</v>
      </c>
      <c r="AH119" s="146"/>
    </row>
    <row r="120" spans="2:34">
      <c r="B120" s="145"/>
      <c r="C120" s="296">
        <v>26</v>
      </c>
      <c r="D120" s="296">
        <f>IF(C120&lt;=B.2!$G$35,B.2!$H$35,IF(AND(C120&lt;=B.2!$G$34,C120&gt;B.2!$G$35),0+((B.2!$H$35-B.2!$H$34)/(B.2!$G$35-B.2!$G$34))*(C120-B.2!$G$34),0))</f>
        <v>15.476190476190476</v>
      </c>
      <c r="E120" s="419"/>
      <c r="F120" s="296">
        <v>26</v>
      </c>
      <c r="G120" s="296">
        <f>IF(F120&lt;=B.2!$G$37,B.2!$H$37,IF(AND(F120&lt;=B.2!$G$36,F120&gt;B.2!$G$37),0+((B.2!$H$37-B.2!$H$36)/(B.2!$G$37-B.2!$G$36))*(F120-B.2!$G$36),0))</f>
        <v>0</v>
      </c>
      <c r="H120" s="276"/>
      <c r="I120" s="296">
        <v>26</v>
      </c>
      <c r="J120" s="296">
        <f>IF(I120&lt;=B.2!$G$39,B.2!$H$39,IF(AND(I120&lt;=B.2!$G$38,I120&gt;B.2!$G$39),0+((B.2!$H$39-B.2!$H$38)/(B.2!$G$39-B.2!$G$38))*(I120-B.2!$G$38),0))</f>
        <v>6.666666666666667</v>
      </c>
      <c r="K120" s="419"/>
      <c r="L120" s="296">
        <v>26</v>
      </c>
      <c r="M120" s="296">
        <f>IF(L120&lt;=B.2!$G$41,B.2!$H$41,IF(AND(L120&lt;=B.2!$G$40,L120&gt;B.2!$G$41),0+((B.2!$H$41-B.2!$H$40)/(B.2!$G$41-B.2!$G$40))*(L120-B.2!$G$40),0))</f>
        <v>120</v>
      </c>
      <c r="N120" s="419"/>
      <c r="O120" s="296">
        <v>26</v>
      </c>
      <c r="P120" s="296">
        <f>IF(O120&lt;=B.2!$G$43,B.2!$H$43,IF(AND(O120&lt;=B.2!$G$42,O120&gt;B.2!$G$43),0+((B.2!$H$43-B.2!$H$42)/(B.2!$G$43-B.2!$G$42))*(O120-B.2!$G$42),0))</f>
        <v>0</v>
      </c>
      <c r="Q120" s="276"/>
      <c r="R120" s="295"/>
      <c r="S120" s="420"/>
      <c r="T120" s="297">
        <v>26</v>
      </c>
      <c r="U120" s="297">
        <f>IF(T120&lt;=B.2!$L$35,B.2!$M$35,IF(AND(T120&lt;=B.2!$L$34,T120&gt;B.2!$L$35),0+((B.2!$M$35-B.2!$M$34)/(B.2!$L$35-B.2!$L$34))*(T120-B.2!$L$34),0))</f>
        <v>22.5</v>
      </c>
      <c r="V120" s="421"/>
      <c r="W120" s="297">
        <v>26</v>
      </c>
      <c r="X120" s="297">
        <f>IF(W120&lt;=B.2!$L$37,B.2!$M$37,IF(AND(W120&lt;=B.2!$L$36,W120&gt;B.2!$L$37),0+((B.2!$M$37-B.2!$M$36)/(B.2!$L$37-B.2!$L$36))*(W120-B.2!$L$36),0))</f>
        <v>12.307692307692308</v>
      </c>
      <c r="Y120" s="420"/>
      <c r="Z120" s="297">
        <v>26</v>
      </c>
      <c r="AA120" s="297">
        <f>IF(Z120&lt;=B.2!$L$39,B.2!$M$39,IF(AND(Z120&lt;=B.2!$L$38,Z120&gt;B.2!$L$39),0+((B.2!$M$39-B.2!$M$38)/(B.2!$L$39-B.2!$L$38))*(Z120-B.2!$L$38),0))</f>
        <v>24</v>
      </c>
      <c r="AB120" s="421"/>
      <c r="AC120" s="297">
        <v>26</v>
      </c>
      <c r="AD120" s="297">
        <f>IF(AC120&lt;=B.2!$L$41,B.2!$M$41,IF(AND(AC120&lt;=B.2!$L$40,AC120&gt;B.2!$L$41),0+((B.2!$M$41-B.2!$M$40)/(B.2!$L$41-B.2!$L$40))*(AC120-B.2!$L$40),0))</f>
        <v>120</v>
      </c>
      <c r="AE120" s="421"/>
      <c r="AF120" s="297">
        <v>26</v>
      </c>
      <c r="AG120" s="297">
        <f>IF(AF120&lt;=B.2!$L$43,B.2!$M$43,IF(AND(AF120&lt;=B.2!$L$42,AF120&gt;B.2!$L$43),0+((B.2!$M$43-B.2!$M$42)/(B.2!$L$43-B.2!$L$42))*(AF120-B.2!$L$42),0))</f>
        <v>0</v>
      </c>
      <c r="AH120" s="146"/>
    </row>
    <row r="121" spans="2:34">
      <c r="B121" s="145"/>
      <c r="C121" s="296">
        <v>27</v>
      </c>
      <c r="D121" s="296">
        <f>IF(C121&lt;=B.2!$G$35,B.2!$H$35,IF(AND(C121&lt;=B.2!$G$34,C121&gt;B.2!$G$35),0+((B.2!$H$35-B.2!$H$34)/(B.2!$G$35-B.2!$G$34))*(C121-B.2!$G$34),0))</f>
        <v>14.880952380952381</v>
      </c>
      <c r="E121" s="419"/>
      <c r="F121" s="296">
        <v>27</v>
      </c>
      <c r="G121" s="296">
        <f>IF(F121&lt;=B.2!$G$37,B.2!$H$37,IF(AND(F121&lt;=B.2!$G$36,F121&gt;B.2!$G$37),0+((B.2!$H$37-B.2!$H$36)/(B.2!$G$37-B.2!$G$36))*(F121-B.2!$G$36),0))</f>
        <v>0</v>
      </c>
      <c r="H121" s="276"/>
      <c r="I121" s="296">
        <v>27</v>
      </c>
      <c r="J121" s="296">
        <f>IF(I121&lt;=B.2!$G$39,B.2!$H$39,IF(AND(I121&lt;=B.2!$G$38,I121&gt;B.2!$G$39),0+((B.2!$H$39-B.2!$H$38)/(B.2!$G$39-B.2!$G$38))*(I121-B.2!$G$38),0))</f>
        <v>5</v>
      </c>
      <c r="K121" s="419"/>
      <c r="L121" s="296">
        <v>27</v>
      </c>
      <c r="M121" s="296">
        <f>IF(L121&lt;=B.2!$G$41,B.2!$H$41,IF(AND(L121&lt;=B.2!$G$40,L121&gt;B.2!$G$41),0+((B.2!$H$41-B.2!$H$40)/(B.2!$G$41-B.2!$G$40))*(L121-B.2!$G$40),0))</f>
        <v>120</v>
      </c>
      <c r="N121" s="419"/>
      <c r="O121" s="296">
        <v>27</v>
      </c>
      <c r="P121" s="296">
        <f>IF(O121&lt;=B.2!$G$43,B.2!$H$43,IF(AND(O121&lt;=B.2!$G$42,O121&gt;B.2!$G$43),0+((B.2!$H$43-B.2!$H$42)/(B.2!$G$43-B.2!$G$42))*(O121-B.2!$G$42),0))</f>
        <v>0</v>
      </c>
      <c r="Q121" s="276"/>
      <c r="R121" s="295"/>
      <c r="S121" s="420"/>
      <c r="T121" s="297">
        <v>27</v>
      </c>
      <c r="U121" s="297">
        <f>IF(T121&lt;=B.2!$L$35,B.2!$M$35,IF(AND(T121&lt;=B.2!$L$34,T121&gt;B.2!$L$35),0+((B.2!$M$35-B.2!$M$34)/(B.2!$L$35-B.2!$L$34))*(T121-B.2!$L$34),0))</f>
        <v>21.875</v>
      </c>
      <c r="V121" s="421"/>
      <c r="W121" s="297">
        <v>27</v>
      </c>
      <c r="X121" s="297">
        <f>IF(W121&lt;=B.2!$L$37,B.2!$M$37,IF(AND(W121&lt;=B.2!$L$36,W121&gt;B.2!$L$37),0+((B.2!$M$37-B.2!$M$36)/(B.2!$L$37-B.2!$L$36))*(W121-B.2!$L$36),0))</f>
        <v>9.2307692307692317</v>
      </c>
      <c r="Y121" s="420"/>
      <c r="Z121" s="297">
        <v>27</v>
      </c>
      <c r="AA121" s="297">
        <f>IF(Z121&lt;=B.2!$L$39,B.2!$M$39,IF(AND(Z121&lt;=B.2!$L$38,Z121&gt;B.2!$L$39),0+((B.2!$M$39-B.2!$M$38)/(B.2!$L$39-B.2!$L$38))*(Z121-B.2!$L$38),0))</f>
        <v>23</v>
      </c>
      <c r="AB121" s="421"/>
      <c r="AC121" s="297">
        <v>27</v>
      </c>
      <c r="AD121" s="297">
        <f>IF(AC121&lt;=B.2!$L$41,B.2!$M$41,IF(AND(AC121&lt;=B.2!$L$40,AC121&gt;B.2!$L$41),0+((B.2!$M$41-B.2!$M$40)/(B.2!$L$41-B.2!$L$40))*(AC121-B.2!$L$40),0))</f>
        <v>120</v>
      </c>
      <c r="AE121" s="421"/>
      <c r="AF121" s="297">
        <v>27</v>
      </c>
      <c r="AG121" s="297">
        <f>IF(AF121&lt;=B.2!$L$43,B.2!$M$43,IF(AND(AF121&lt;=B.2!$L$42,AF121&gt;B.2!$L$43),0+((B.2!$M$43-B.2!$M$42)/(B.2!$L$43-B.2!$L$42))*(AF121-B.2!$L$42),0))</f>
        <v>0</v>
      </c>
      <c r="AH121" s="146"/>
    </row>
    <row r="122" spans="2:34">
      <c r="B122" s="145"/>
      <c r="C122" s="296">
        <v>28</v>
      </c>
      <c r="D122" s="296">
        <f>IF(C122&lt;=B.2!$G$35,B.2!$H$35,IF(AND(C122&lt;=B.2!$G$34,C122&gt;B.2!$G$35),0+((B.2!$H$35-B.2!$H$34)/(B.2!$G$35-B.2!$G$34))*(C122-B.2!$G$34),0))</f>
        <v>14.285714285714285</v>
      </c>
      <c r="E122" s="419"/>
      <c r="F122" s="296">
        <v>28</v>
      </c>
      <c r="G122" s="296">
        <f>IF(F122&lt;=B.2!$G$37,B.2!$H$37,IF(AND(F122&lt;=B.2!$G$36,F122&gt;B.2!$G$37),0+((B.2!$H$37-B.2!$H$36)/(B.2!$G$37-B.2!$G$36))*(F122-B.2!$G$36),0))</f>
        <v>0</v>
      </c>
      <c r="H122" s="276"/>
      <c r="I122" s="296">
        <v>28</v>
      </c>
      <c r="J122" s="296">
        <f>IF(I122&lt;=B.2!$G$39,B.2!$H$39,IF(AND(I122&lt;=B.2!$G$38,I122&gt;B.2!$G$39),0+((B.2!$H$39-B.2!$H$38)/(B.2!$G$39-B.2!$G$38))*(I122-B.2!$G$38),0))</f>
        <v>3.3333333333333335</v>
      </c>
      <c r="K122" s="419"/>
      <c r="L122" s="296">
        <v>28</v>
      </c>
      <c r="M122" s="296">
        <f>IF(L122&lt;=B.2!$G$41,B.2!$H$41,IF(AND(L122&lt;=B.2!$G$40,L122&gt;B.2!$G$41),0+((B.2!$H$41-B.2!$H$40)/(B.2!$G$41-B.2!$G$40))*(L122-B.2!$G$40),0))</f>
        <v>120</v>
      </c>
      <c r="N122" s="419"/>
      <c r="O122" s="296">
        <v>28</v>
      </c>
      <c r="P122" s="296">
        <f>IF(O122&lt;=B.2!$G$43,B.2!$H$43,IF(AND(O122&lt;=B.2!$G$42,O122&gt;B.2!$G$43),0+((B.2!$H$43-B.2!$H$42)/(B.2!$G$43-B.2!$G$42))*(O122-B.2!$G$42),0))</f>
        <v>0</v>
      </c>
      <c r="Q122" s="276"/>
      <c r="R122" s="295"/>
      <c r="S122" s="420"/>
      <c r="T122" s="297">
        <v>28</v>
      </c>
      <c r="U122" s="297">
        <f>IF(T122&lt;=B.2!$L$35,B.2!$M$35,IF(AND(T122&lt;=B.2!$L$34,T122&gt;B.2!$L$35),0+((B.2!$M$35-B.2!$M$34)/(B.2!$L$35-B.2!$L$34))*(T122-B.2!$L$34),0))</f>
        <v>21.25</v>
      </c>
      <c r="V122" s="421"/>
      <c r="W122" s="297">
        <v>28</v>
      </c>
      <c r="X122" s="297">
        <f>IF(W122&lt;=B.2!$L$37,B.2!$M$37,IF(AND(W122&lt;=B.2!$L$36,W122&gt;B.2!$L$37),0+((B.2!$M$37-B.2!$M$36)/(B.2!$L$37-B.2!$L$36))*(W122-B.2!$L$36),0))</f>
        <v>6.1538461538461542</v>
      </c>
      <c r="Y122" s="420"/>
      <c r="Z122" s="297">
        <v>28</v>
      </c>
      <c r="AA122" s="297">
        <f>IF(Z122&lt;=B.2!$L$39,B.2!$M$39,IF(AND(Z122&lt;=B.2!$L$38,Z122&gt;B.2!$L$39),0+((B.2!$M$39-B.2!$M$38)/(B.2!$L$39-B.2!$L$38))*(Z122-B.2!$L$38),0))</f>
        <v>22</v>
      </c>
      <c r="AB122" s="421"/>
      <c r="AC122" s="297">
        <v>28</v>
      </c>
      <c r="AD122" s="297">
        <f>IF(AC122&lt;=B.2!$L$41,B.2!$M$41,IF(AND(AC122&lt;=B.2!$L$40,AC122&gt;B.2!$L$41),0+((B.2!$M$41-B.2!$M$40)/(B.2!$L$41-B.2!$L$40))*(AC122-B.2!$L$40),0))</f>
        <v>120</v>
      </c>
      <c r="AE122" s="421"/>
      <c r="AF122" s="297">
        <v>28</v>
      </c>
      <c r="AG122" s="297">
        <f>IF(AF122&lt;=B.2!$L$43,B.2!$M$43,IF(AND(AF122&lt;=B.2!$L$42,AF122&gt;B.2!$L$43),0+((B.2!$M$43-B.2!$M$42)/(B.2!$L$43-B.2!$L$42))*(AF122-B.2!$L$42),0))</f>
        <v>0</v>
      </c>
      <c r="AH122" s="146"/>
    </row>
    <row r="123" spans="2:34">
      <c r="B123" s="145"/>
      <c r="C123" s="296">
        <v>29</v>
      </c>
      <c r="D123" s="296">
        <f>IF(C123&lt;=B.2!$G$35,B.2!$H$35,IF(AND(C123&lt;=B.2!$G$34,C123&gt;B.2!$G$35),0+((B.2!$H$35-B.2!$H$34)/(B.2!$G$35-B.2!$G$34))*(C123-B.2!$G$34),0))</f>
        <v>13.69047619047619</v>
      </c>
      <c r="E123" s="419"/>
      <c r="F123" s="296">
        <v>29</v>
      </c>
      <c r="G123" s="296">
        <f>IF(F123&lt;=B.2!$G$37,B.2!$H$37,IF(AND(F123&lt;=B.2!$G$36,F123&gt;B.2!$G$37),0+((B.2!$H$37-B.2!$H$36)/(B.2!$G$37-B.2!$G$36))*(F123-B.2!$G$36),0))</f>
        <v>0</v>
      </c>
      <c r="H123" s="276"/>
      <c r="I123" s="296">
        <v>29</v>
      </c>
      <c r="J123" s="296">
        <f>IF(I123&lt;=B.2!$G$39,B.2!$H$39,IF(AND(I123&lt;=B.2!$G$38,I123&gt;B.2!$G$39),0+((B.2!$H$39-B.2!$H$38)/(B.2!$G$39-B.2!$G$38))*(I123-B.2!$G$38),0))</f>
        <v>1.6666666666666667</v>
      </c>
      <c r="K123" s="419"/>
      <c r="L123" s="296">
        <v>29</v>
      </c>
      <c r="M123" s="296">
        <f>IF(L123&lt;=B.2!$G$41,B.2!$H$41,IF(AND(L123&lt;=B.2!$G$40,L123&gt;B.2!$G$41),0+((B.2!$H$41-B.2!$H$40)/(B.2!$G$41-B.2!$G$40))*(L123-B.2!$G$40),0))</f>
        <v>120</v>
      </c>
      <c r="N123" s="419"/>
      <c r="O123" s="296">
        <v>29</v>
      </c>
      <c r="P123" s="296">
        <f>IF(O123&lt;=B.2!$G$43,B.2!$H$43,IF(AND(O123&lt;=B.2!$G$42,O123&gt;B.2!$G$43),0+((B.2!$H$43-B.2!$H$42)/(B.2!$G$43-B.2!$G$42))*(O123-B.2!$G$42),0))</f>
        <v>0</v>
      </c>
      <c r="Q123" s="276"/>
      <c r="R123" s="295"/>
      <c r="S123" s="420"/>
      <c r="T123" s="297">
        <v>29</v>
      </c>
      <c r="U123" s="297">
        <f>IF(T123&lt;=B.2!$L$35,B.2!$M$35,IF(AND(T123&lt;=B.2!$L$34,T123&gt;B.2!$L$35),0+((B.2!$M$35-B.2!$M$34)/(B.2!$L$35-B.2!$L$34))*(T123-B.2!$L$34),0))</f>
        <v>20.625</v>
      </c>
      <c r="V123" s="421"/>
      <c r="W123" s="297">
        <v>29</v>
      </c>
      <c r="X123" s="297">
        <f>IF(W123&lt;=B.2!$L$37,B.2!$M$37,IF(AND(W123&lt;=B.2!$L$36,W123&gt;B.2!$L$37),0+((B.2!$M$37-B.2!$M$36)/(B.2!$L$37-B.2!$L$36))*(W123-B.2!$L$36),0))</f>
        <v>3.0769230769230771</v>
      </c>
      <c r="Y123" s="420"/>
      <c r="Z123" s="297">
        <v>29</v>
      </c>
      <c r="AA123" s="297">
        <f>IF(Z123&lt;=B.2!$L$39,B.2!$M$39,IF(AND(Z123&lt;=B.2!$L$38,Z123&gt;B.2!$L$39),0+((B.2!$M$39-B.2!$M$38)/(B.2!$L$39-B.2!$L$38))*(Z123-B.2!$L$38),0))</f>
        <v>21</v>
      </c>
      <c r="AB123" s="421"/>
      <c r="AC123" s="297">
        <v>29</v>
      </c>
      <c r="AD123" s="297">
        <f>IF(AC123&lt;=B.2!$L$41,B.2!$M$41,IF(AND(AC123&lt;=B.2!$L$40,AC123&gt;B.2!$L$41),0+((B.2!$M$41-B.2!$M$40)/(B.2!$L$41-B.2!$L$40))*(AC123-B.2!$L$40),0))</f>
        <v>120</v>
      </c>
      <c r="AE123" s="421"/>
      <c r="AF123" s="297">
        <v>29</v>
      </c>
      <c r="AG123" s="297">
        <f>IF(AF123&lt;=B.2!$L$43,B.2!$M$43,IF(AND(AF123&lt;=B.2!$L$42,AF123&gt;B.2!$L$43),0+((B.2!$M$43-B.2!$M$42)/(B.2!$L$43-B.2!$L$42))*(AF123-B.2!$L$42),0))</f>
        <v>0</v>
      </c>
      <c r="AH123" s="146"/>
    </row>
    <row r="124" spans="2:34">
      <c r="B124" s="145"/>
      <c r="C124" s="296">
        <v>30</v>
      </c>
      <c r="D124" s="296">
        <f>IF(C124&lt;=B.2!$G$35,B.2!$H$35,IF(AND(C124&lt;=B.2!$G$34,C124&gt;B.2!$G$35),0+((B.2!$H$35-B.2!$H$34)/(B.2!$G$35-B.2!$G$34))*(C124-B.2!$G$34),0))</f>
        <v>13.095238095238095</v>
      </c>
      <c r="E124" s="419"/>
      <c r="F124" s="296">
        <v>30</v>
      </c>
      <c r="G124" s="296">
        <f>IF(F124&lt;=B.2!$G$37,B.2!$H$37,IF(AND(F124&lt;=B.2!$G$36,F124&gt;B.2!$G$37),0+((B.2!$H$37-B.2!$H$36)/(B.2!$G$37-B.2!$G$36))*(F124-B.2!$G$36),0))</f>
        <v>0</v>
      </c>
      <c r="H124" s="276"/>
      <c r="I124" s="296">
        <v>30</v>
      </c>
      <c r="J124" s="296">
        <f>IF(I124&lt;=B.2!$G$39,B.2!$H$39,IF(AND(I124&lt;=B.2!$G$38,I124&gt;B.2!$G$39),0+((B.2!$H$39-B.2!$H$38)/(B.2!$G$39-B.2!$G$38))*(I124-B.2!$G$38),0))</f>
        <v>0</v>
      </c>
      <c r="K124" s="419"/>
      <c r="L124" s="296">
        <v>30</v>
      </c>
      <c r="M124" s="296">
        <f>IF(L124&lt;=B.2!$G$41,B.2!$H$41,IF(AND(L124&lt;=B.2!$G$40,L124&gt;B.2!$G$41),0+((B.2!$H$41-B.2!$H$40)/(B.2!$G$41-B.2!$G$40))*(L124-B.2!$G$40),0))</f>
        <v>120</v>
      </c>
      <c r="N124" s="419"/>
      <c r="O124" s="296">
        <v>30</v>
      </c>
      <c r="P124" s="296">
        <f>IF(O124&lt;=B.2!$G$43,B.2!$H$43,IF(AND(O124&lt;=B.2!$G$42,O124&gt;B.2!$G$43),0+((B.2!$H$43-B.2!$H$42)/(B.2!$G$43-B.2!$G$42))*(O124-B.2!$G$42),0))</f>
        <v>0</v>
      </c>
      <c r="Q124" s="276"/>
      <c r="R124" s="295"/>
      <c r="S124" s="420"/>
      <c r="T124" s="297">
        <v>30</v>
      </c>
      <c r="U124" s="297">
        <f>IF(T124&lt;=B.2!$L$35,B.2!$M$35,IF(AND(T124&lt;=B.2!$L$34,T124&gt;B.2!$L$35),0+((B.2!$M$35-B.2!$M$34)/(B.2!$L$35-B.2!$L$34))*(T124-B.2!$L$34),0))</f>
        <v>20</v>
      </c>
      <c r="V124" s="421"/>
      <c r="W124" s="297">
        <v>30</v>
      </c>
      <c r="X124" s="297">
        <f>IF(W124&lt;=B.2!$L$37,B.2!$M$37,IF(AND(W124&lt;=B.2!$L$36,W124&gt;B.2!$L$37),0+((B.2!$M$37-B.2!$M$36)/(B.2!$L$37-B.2!$L$36))*(W124-B.2!$L$36),0))</f>
        <v>0</v>
      </c>
      <c r="Y124" s="420"/>
      <c r="Z124" s="297">
        <v>30</v>
      </c>
      <c r="AA124" s="297">
        <f>IF(Z124&lt;=B.2!$L$39,B.2!$M$39,IF(AND(Z124&lt;=B.2!$L$38,Z124&gt;B.2!$L$39),0+((B.2!$M$39-B.2!$M$38)/(B.2!$L$39-B.2!$L$38))*(Z124-B.2!$L$38),0))</f>
        <v>20</v>
      </c>
      <c r="AB124" s="421"/>
      <c r="AC124" s="297">
        <v>30</v>
      </c>
      <c r="AD124" s="297">
        <f>IF(AC124&lt;=B.2!$L$41,B.2!$M$41,IF(AND(AC124&lt;=B.2!$L$40,AC124&gt;B.2!$L$41),0+((B.2!$M$41-B.2!$M$40)/(B.2!$L$41-B.2!$L$40))*(AC124-B.2!$L$40),0))</f>
        <v>120</v>
      </c>
      <c r="AE124" s="421"/>
      <c r="AF124" s="297">
        <v>30</v>
      </c>
      <c r="AG124" s="297">
        <f>IF(AF124&lt;=B.2!$L$43,B.2!$M$43,IF(AND(AF124&lt;=B.2!$L$42,AF124&gt;B.2!$L$43),0+((B.2!$M$43-B.2!$M$42)/(B.2!$L$43-B.2!$L$42))*(AF124-B.2!$L$42),0))</f>
        <v>0</v>
      </c>
      <c r="AH124" s="146"/>
    </row>
    <row r="125" spans="2:34">
      <c r="B125" s="145"/>
      <c r="C125" s="296">
        <v>31</v>
      </c>
      <c r="D125" s="296">
        <f>IF(C125&lt;=B.2!$G$35,B.2!$H$35,IF(AND(C125&lt;=B.2!$G$34,C125&gt;B.2!$G$35),0+((B.2!$H$35-B.2!$H$34)/(B.2!$G$35-B.2!$G$34))*(C125-B.2!$G$34),0))</f>
        <v>12.5</v>
      </c>
      <c r="E125" s="419"/>
      <c r="F125" s="296">
        <v>31</v>
      </c>
      <c r="G125" s="296">
        <f>IF(F125&lt;=B.2!$G$37,B.2!$H$37,IF(AND(F125&lt;=B.2!$G$36,F125&gt;B.2!$G$37),0+((B.2!$H$37-B.2!$H$36)/(B.2!$G$37-B.2!$G$36))*(F125-B.2!$G$36),0))</f>
        <v>0</v>
      </c>
      <c r="H125" s="276"/>
      <c r="I125" s="296">
        <v>31</v>
      </c>
      <c r="J125" s="296">
        <f>IF(I125&lt;=B.2!$G$39,B.2!$H$39,IF(AND(I125&lt;=B.2!$G$38,I125&gt;B.2!$G$39),0+((B.2!$H$39-B.2!$H$38)/(B.2!$G$39-B.2!$G$38))*(I125-B.2!$G$38),0))</f>
        <v>0</v>
      </c>
      <c r="K125" s="419"/>
      <c r="L125" s="296">
        <v>31</v>
      </c>
      <c r="M125" s="296">
        <f>IF(L125&lt;=B.2!$G$41,B.2!$H$41,IF(AND(L125&lt;=B.2!$G$40,L125&gt;B.2!$G$41),0+((B.2!$H$41-B.2!$H$40)/(B.2!$G$41-B.2!$G$40))*(L125-B.2!$G$40),0))</f>
        <v>120</v>
      </c>
      <c r="N125" s="419"/>
      <c r="O125" s="296"/>
      <c r="P125" s="296"/>
      <c r="Q125" s="276"/>
      <c r="R125" s="295"/>
      <c r="S125" s="420"/>
      <c r="T125" s="297">
        <v>31</v>
      </c>
      <c r="U125" s="297">
        <f>IF(T125&lt;=B.2!$L$35,B.2!$M$35,IF(AND(T125&lt;=B.2!$L$34,T125&gt;B.2!$L$35),0+((B.2!$M$35-B.2!$M$34)/(B.2!$L$35-B.2!$L$34))*(T125-B.2!$L$34),0))</f>
        <v>19.375</v>
      </c>
      <c r="V125" s="421"/>
      <c r="W125" s="297">
        <v>31</v>
      </c>
      <c r="X125" s="297">
        <f>IF(W125&lt;=B.2!$L$37,B.2!$M$37,IF(AND(W125&lt;=B.2!$L$36,W125&gt;B.2!$L$37),0+((B.2!$M$37-B.2!$M$36)/(B.2!$L$37-B.2!$L$36))*(W125-B.2!$L$36),0))</f>
        <v>0</v>
      </c>
      <c r="Y125" s="420"/>
      <c r="Z125" s="297">
        <v>31</v>
      </c>
      <c r="AA125" s="297">
        <f>IF(Z125&lt;=B.2!$L$39,B.2!$M$39,IF(AND(Z125&lt;=B.2!$L$38,Z125&gt;B.2!$L$39),0+((B.2!$M$39-B.2!$M$38)/(B.2!$L$39-B.2!$L$38))*(Z125-B.2!$L$38),0))</f>
        <v>19</v>
      </c>
      <c r="AB125" s="421"/>
      <c r="AC125" s="297">
        <v>31</v>
      </c>
      <c r="AD125" s="297">
        <f>IF(AC125&lt;=B.2!$L$41,B.2!$M$41,IF(AND(AC125&lt;=B.2!$L$40,AC125&gt;B.2!$L$41),0+((B.2!$M$41-B.2!$M$40)/(B.2!$L$41-B.2!$L$40))*(AC125-B.2!$L$40),0))</f>
        <v>120</v>
      </c>
      <c r="AE125" s="421"/>
      <c r="AF125" s="297"/>
      <c r="AG125" s="297"/>
      <c r="AH125" s="146"/>
    </row>
    <row r="126" spans="2:34">
      <c r="B126" s="145"/>
      <c r="C126" s="296">
        <v>32</v>
      </c>
      <c r="D126" s="296">
        <f>IF(C126&lt;=B.2!$G$35,B.2!$H$35,IF(AND(C126&lt;=B.2!$G$34,C126&gt;B.2!$G$35),0+((B.2!$H$35-B.2!$H$34)/(B.2!$G$35-B.2!$G$34))*(C126-B.2!$G$34),0))</f>
        <v>11.904761904761905</v>
      </c>
      <c r="E126" s="419"/>
      <c r="F126" s="296">
        <v>32</v>
      </c>
      <c r="G126" s="296">
        <f>IF(F126&lt;=B.2!$G$37,B.2!$H$37,IF(AND(F126&lt;=B.2!$G$36,F126&gt;B.2!$G$37),0+((B.2!$H$37-B.2!$H$36)/(B.2!$G$37-B.2!$G$36))*(F126-B.2!$G$36),0))</f>
        <v>0</v>
      </c>
      <c r="H126" s="276"/>
      <c r="I126" s="296">
        <v>32</v>
      </c>
      <c r="J126" s="296">
        <f>IF(I126&lt;=B.2!$G$39,B.2!$H$39,IF(AND(I126&lt;=B.2!$G$38,I126&gt;B.2!$G$39),0+((B.2!$H$39-B.2!$H$38)/(B.2!$G$39-B.2!$G$38))*(I126-B.2!$G$38),0))</f>
        <v>0</v>
      </c>
      <c r="K126" s="419"/>
      <c r="L126" s="296">
        <v>32</v>
      </c>
      <c r="M126" s="296">
        <f>IF(L126&lt;=B.2!$G$41,B.2!$H$41,IF(AND(L126&lt;=B.2!$G$40,L126&gt;B.2!$G$41),0+((B.2!$H$41-B.2!$H$40)/(B.2!$G$41-B.2!$G$40))*(L126-B.2!$G$40),0))</f>
        <v>120</v>
      </c>
      <c r="N126" s="419"/>
      <c r="O126" s="296"/>
      <c r="P126" s="296"/>
      <c r="Q126" s="276"/>
      <c r="R126" s="295"/>
      <c r="S126" s="420"/>
      <c r="T126" s="297">
        <v>32</v>
      </c>
      <c r="U126" s="297">
        <f>IF(T126&lt;=B.2!$L$35,B.2!$M$35,IF(AND(T126&lt;=B.2!$L$34,T126&gt;B.2!$L$35),0+((B.2!$M$35-B.2!$M$34)/(B.2!$L$35-B.2!$L$34))*(T126-B.2!$L$34),0))</f>
        <v>18.75</v>
      </c>
      <c r="V126" s="421"/>
      <c r="W126" s="297">
        <v>32</v>
      </c>
      <c r="X126" s="297">
        <f>IF(W126&lt;=B.2!$L$37,B.2!$M$37,IF(AND(W126&lt;=B.2!$L$36,W126&gt;B.2!$L$37),0+((B.2!$M$37-B.2!$M$36)/(B.2!$L$37-B.2!$L$36))*(W126-B.2!$L$36),0))</f>
        <v>0</v>
      </c>
      <c r="Y126" s="420"/>
      <c r="Z126" s="297">
        <v>32</v>
      </c>
      <c r="AA126" s="297">
        <f>IF(Z126&lt;=B.2!$L$39,B.2!$M$39,IF(AND(Z126&lt;=B.2!$L$38,Z126&gt;B.2!$L$39),0+((B.2!$M$39-B.2!$M$38)/(B.2!$L$39-B.2!$L$38))*(Z126-B.2!$L$38),0))</f>
        <v>18</v>
      </c>
      <c r="AB126" s="421"/>
      <c r="AC126" s="297">
        <v>32</v>
      </c>
      <c r="AD126" s="297">
        <f>IF(AC126&lt;=B.2!$L$41,B.2!$M$41,IF(AND(AC126&lt;=B.2!$L$40,AC126&gt;B.2!$L$41),0+((B.2!$M$41-B.2!$M$40)/(B.2!$L$41-B.2!$L$40))*(AC126-B.2!$L$40),0))</f>
        <v>120</v>
      </c>
      <c r="AE126" s="421"/>
      <c r="AF126" s="297"/>
      <c r="AG126" s="297"/>
      <c r="AH126" s="146"/>
    </row>
    <row r="127" spans="2:34">
      <c r="B127" s="145"/>
      <c r="C127" s="296">
        <v>33</v>
      </c>
      <c r="D127" s="296">
        <f>IF(C127&lt;=B.2!$G$35,B.2!$H$35,IF(AND(C127&lt;=B.2!$G$34,C127&gt;B.2!$G$35),0+((B.2!$H$35-B.2!$H$34)/(B.2!$G$35-B.2!$G$34))*(C127-B.2!$G$34),0))</f>
        <v>11.30952380952381</v>
      </c>
      <c r="E127" s="419"/>
      <c r="F127" s="296">
        <v>33</v>
      </c>
      <c r="G127" s="296">
        <f>IF(F127&lt;=B.2!$G$37,B.2!$H$37,IF(AND(F127&lt;=B.2!$G$36,F127&gt;B.2!$G$37),0+((B.2!$H$37-B.2!$H$36)/(B.2!$G$37-B.2!$G$36))*(F127-B.2!$G$36),0))</f>
        <v>0</v>
      </c>
      <c r="H127" s="276"/>
      <c r="I127" s="296">
        <v>33</v>
      </c>
      <c r="J127" s="296">
        <f>IF(I127&lt;=B.2!$G$39,B.2!$H$39,IF(AND(I127&lt;=B.2!$G$38,I127&gt;B.2!$G$39),0+((B.2!$H$39-B.2!$H$38)/(B.2!$G$39-B.2!$G$38))*(I127-B.2!$G$38),0))</f>
        <v>0</v>
      </c>
      <c r="K127" s="419"/>
      <c r="L127" s="296">
        <v>33</v>
      </c>
      <c r="M127" s="296">
        <f>IF(L127&lt;=B.2!$G$41,B.2!$H$41,IF(AND(L127&lt;=B.2!$G$40,L127&gt;B.2!$G$41),0+((B.2!$H$41-B.2!$H$40)/(B.2!$G$41-B.2!$G$40))*(L127-B.2!$G$40),0))</f>
        <v>120</v>
      </c>
      <c r="N127" s="419"/>
      <c r="O127" s="296"/>
      <c r="P127" s="296"/>
      <c r="Q127" s="276"/>
      <c r="R127" s="295"/>
      <c r="S127" s="420"/>
      <c r="T127" s="297">
        <v>33</v>
      </c>
      <c r="U127" s="297">
        <f>IF(T127&lt;=B.2!$L$35,B.2!$M$35,IF(AND(T127&lt;=B.2!$L$34,T127&gt;B.2!$L$35),0+((B.2!$M$35-B.2!$M$34)/(B.2!$L$35-B.2!$L$34))*(T127-B.2!$L$34),0))</f>
        <v>18.125</v>
      </c>
      <c r="V127" s="421"/>
      <c r="W127" s="297">
        <v>33</v>
      </c>
      <c r="X127" s="297">
        <f>IF(W127&lt;=B.2!$L$37,B.2!$M$37,IF(AND(W127&lt;=B.2!$L$36,W127&gt;B.2!$L$37),0+((B.2!$M$37-B.2!$M$36)/(B.2!$L$37-B.2!$L$36))*(W127-B.2!$L$36),0))</f>
        <v>0</v>
      </c>
      <c r="Y127" s="420"/>
      <c r="Z127" s="297">
        <v>33</v>
      </c>
      <c r="AA127" s="297">
        <f>IF(Z127&lt;=B.2!$L$39,B.2!$M$39,IF(AND(Z127&lt;=B.2!$L$38,Z127&gt;B.2!$L$39),0+((B.2!$M$39-B.2!$M$38)/(B.2!$L$39-B.2!$L$38))*(Z127-B.2!$L$38),0))</f>
        <v>17</v>
      </c>
      <c r="AB127" s="421"/>
      <c r="AC127" s="297">
        <v>33</v>
      </c>
      <c r="AD127" s="297">
        <f>IF(AC127&lt;=B.2!$L$41,B.2!$M$41,IF(AND(AC127&lt;=B.2!$L$40,AC127&gt;B.2!$L$41),0+((B.2!$M$41-B.2!$M$40)/(B.2!$L$41-B.2!$L$40))*(AC127-B.2!$L$40),0))</f>
        <v>120</v>
      </c>
      <c r="AE127" s="421"/>
      <c r="AF127" s="297"/>
      <c r="AG127" s="297"/>
      <c r="AH127" s="146"/>
    </row>
    <row r="128" spans="2:34">
      <c r="B128" s="145"/>
      <c r="C128" s="296">
        <v>34</v>
      </c>
      <c r="D128" s="296">
        <f>IF(C128&lt;=B.2!$G$35,B.2!$H$35,IF(AND(C128&lt;=B.2!$G$34,C128&gt;B.2!$G$35),0+((B.2!$H$35-B.2!$H$34)/(B.2!$G$35-B.2!$G$34))*(C128-B.2!$G$34),0))</f>
        <v>10.714285714285714</v>
      </c>
      <c r="E128" s="419"/>
      <c r="F128" s="296">
        <v>34</v>
      </c>
      <c r="G128" s="296">
        <f>IF(F128&lt;=B.2!$G$37,B.2!$H$37,IF(AND(F128&lt;=B.2!$G$36,F128&gt;B.2!$G$37),0+((B.2!$H$37-B.2!$H$36)/(B.2!$G$37-B.2!$G$36))*(F128-B.2!$G$36),0))</f>
        <v>0</v>
      </c>
      <c r="H128" s="276"/>
      <c r="I128" s="296">
        <v>34</v>
      </c>
      <c r="J128" s="296">
        <f>IF(I128&lt;=B.2!$G$39,B.2!$H$39,IF(AND(I128&lt;=B.2!$G$38,I128&gt;B.2!$G$39),0+((B.2!$H$39-B.2!$H$38)/(B.2!$G$39-B.2!$G$38))*(I128-B.2!$G$38),0))</f>
        <v>0</v>
      </c>
      <c r="K128" s="419"/>
      <c r="L128" s="296">
        <v>34</v>
      </c>
      <c r="M128" s="296">
        <f>IF(L128&lt;=B.2!$G$41,B.2!$H$41,IF(AND(L128&lt;=B.2!$G$40,L128&gt;B.2!$G$41),0+((B.2!$H$41-B.2!$H$40)/(B.2!$G$41-B.2!$G$40))*(L128-B.2!$G$40),0))</f>
        <v>120</v>
      </c>
      <c r="N128" s="419"/>
      <c r="O128" s="296"/>
      <c r="P128" s="296"/>
      <c r="Q128" s="276"/>
      <c r="R128" s="295"/>
      <c r="S128" s="420"/>
      <c r="T128" s="297">
        <v>34</v>
      </c>
      <c r="U128" s="297">
        <f>IF(T128&lt;=B.2!$L$35,B.2!$M$35,IF(AND(T128&lt;=B.2!$L$34,T128&gt;B.2!$L$35),0+((B.2!$M$35-B.2!$M$34)/(B.2!$L$35-B.2!$L$34))*(T128-B.2!$L$34),0))</f>
        <v>17.5</v>
      </c>
      <c r="V128" s="421"/>
      <c r="W128" s="297">
        <v>34</v>
      </c>
      <c r="X128" s="297">
        <f>IF(W128&lt;=B.2!$L$37,B.2!$M$37,IF(AND(W128&lt;=B.2!$L$36,W128&gt;B.2!$L$37),0+((B.2!$M$37-B.2!$M$36)/(B.2!$L$37-B.2!$L$36))*(W128-B.2!$L$36),0))</f>
        <v>0</v>
      </c>
      <c r="Y128" s="420"/>
      <c r="Z128" s="297">
        <v>34</v>
      </c>
      <c r="AA128" s="297">
        <f>IF(Z128&lt;=B.2!$L$39,B.2!$M$39,IF(AND(Z128&lt;=B.2!$L$38,Z128&gt;B.2!$L$39),0+((B.2!$M$39-B.2!$M$38)/(B.2!$L$39-B.2!$L$38))*(Z128-B.2!$L$38),0))</f>
        <v>16</v>
      </c>
      <c r="AB128" s="421"/>
      <c r="AC128" s="297">
        <v>34</v>
      </c>
      <c r="AD128" s="297">
        <f>IF(AC128&lt;=B.2!$L$41,B.2!$M$41,IF(AND(AC128&lt;=B.2!$L$40,AC128&gt;B.2!$L$41),0+((B.2!$M$41-B.2!$M$40)/(B.2!$L$41-B.2!$L$40))*(AC128-B.2!$L$40),0))</f>
        <v>120</v>
      </c>
      <c r="AE128" s="421"/>
      <c r="AF128" s="297"/>
      <c r="AG128" s="297"/>
      <c r="AH128" s="146"/>
    </row>
    <row r="129" spans="2:34">
      <c r="B129" s="145"/>
      <c r="C129" s="296">
        <v>35</v>
      </c>
      <c r="D129" s="296">
        <f>IF(C129&lt;=B.2!$G$35,B.2!$H$35,IF(AND(C129&lt;=B.2!$G$34,C129&gt;B.2!$G$35),0+((B.2!$H$35-B.2!$H$34)/(B.2!$G$35-B.2!$G$34))*(C129-B.2!$G$34),0))</f>
        <v>10.119047619047619</v>
      </c>
      <c r="E129" s="419"/>
      <c r="F129" s="296">
        <v>35</v>
      </c>
      <c r="G129" s="296">
        <f>IF(F129&lt;=B.2!$G$37,B.2!$H$37,IF(AND(F129&lt;=B.2!$G$36,F129&gt;B.2!$G$37),0+((B.2!$H$37-B.2!$H$36)/(B.2!$G$37-B.2!$G$36))*(F129-B.2!$G$36),0))</f>
        <v>0</v>
      </c>
      <c r="H129" s="276"/>
      <c r="I129" s="296">
        <v>35</v>
      </c>
      <c r="J129" s="296">
        <f>IF(I129&lt;=B.2!$G$39,B.2!$H$39,IF(AND(I129&lt;=B.2!$G$38,I129&gt;B.2!$G$39),0+((B.2!$H$39-B.2!$H$38)/(B.2!$G$39-B.2!$G$38))*(I129-B.2!$G$38),0))</f>
        <v>0</v>
      </c>
      <c r="K129" s="419"/>
      <c r="L129" s="296">
        <v>35</v>
      </c>
      <c r="M129" s="296">
        <f>IF(L129&lt;=B.2!$G$41,B.2!$H$41,IF(AND(L129&lt;=B.2!$G$40,L129&gt;B.2!$G$41),0+((B.2!$H$41-B.2!$H$40)/(B.2!$G$41-B.2!$G$40))*(L129-B.2!$G$40),0))</f>
        <v>120</v>
      </c>
      <c r="N129" s="419"/>
      <c r="O129" s="296"/>
      <c r="P129" s="296"/>
      <c r="Q129" s="276"/>
      <c r="R129" s="295"/>
      <c r="S129" s="420"/>
      <c r="T129" s="297">
        <v>35</v>
      </c>
      <c r="U129" s="297">
        <f>IF(T129&lt;=B.2!$L$35,B.2!$M$35,IF(AND(T129&lt;=B.2!$L$34,T129&gt;B.2!$L$35),0+((B.2!$M$35-B.2!$M$34)/(B.2!$L$35-B.2!$L$34))*(T129-B.2!$L$34),0))</f>
        <v>16.875</v>
      </c>
      <c r="V129" s="421"/>
      <c r="W129" s="297">
        <v>35</v>
      </c>
      <c r="X129" s="297">
        <f>IF(W129&lt;=B.2!$L$37,B.2!$M$37,IF(AND(W129&lt;=B.2!$L$36,W129&gt;B.2!$L$37),0+((B.2!$M$37-B.2!$M$36)/(B.2!$L$37-B.2!$L$36))*(W129-B.2!$L$36),0))</f>
        <v>0</v>
      </c>
      <c r="Y129" s="420"/>
      <c r="Z129" s="297">
        <v>35</v>
      </c>
      <c r="AA129" s="297">
        <f>IF(Z129&lt;=B.2!$L$39,B.2!$M$39,IF(AND(Z129&lt;=B.2!$L$38,Z129&gt;B.2!$L$39),0+((B.2!$M$39-B.2!$M$38)/(B.2!$L$39-B.2!$L$38))*(Z129-B.2!$L$38),0))</f>
        <v>15</v>
      </c>
      <c r="AB129" s="421"/>
      <c r="AC129" s="297">
        <v>35</v>
      </c>
      <c r="AD129" s="297">
        <f>IF(AC129&lt;=B.2!$L$41,B.2!$M$41,IF(AND(AC129&lt;=B.2!$L$40,AC129&gt;B.2!$L$41),0+((B.2!$M$41-B.2!$M$40)/(B.2!$L$41-B.2!$L$40))*(AC129-B.2!$L$40),0))</f>
        <v>120</v>
      </c>
      <c r="AE129" s="421"/>
      <c r="AF129" s="297"/>
      <c r="AG129" s="297"/>
      <c r="AH129" s="146"/>
    </row>
    <row r="130" spans="2:34">
      <c r="B130" s="145"/>
      <c r="C130" s="296">
        <v>36</v>
      </c>
      <c r="D130" s="296">
        <f>IF(C130&lt;=B.2!$G$35,B.2!$H$35,IF(AND(C130&lt;=B.2!$G$34,C130&gt;B.2!$G$35),0+((B.2!$H$35-B.2!$H$34)/(B.2!$G$35-B.2!$G$34))*(C130-B.2!$G$34),0))</f>
        <v>9.5238095238095237</v>
      </c>
      <c r="E130" s="419"/>
      <c r="F130" s="296"/>
      <c r="G130" s="296"/>
      <c r="H130" s="276"/>
      <c r="I130" s="296">
        <v>36</v>
      </c>
      <c r="J130" s="296">
        <f>IF(I130&lt;=B.2!$G$39,B.2!$H$39,IF(AND(I130&lt;=B.2!$G$38,I130&gt;B.2!$G$39),0+((B.2!$H$39-B.2!$H$38)/(B.2!$G$39-B.2!$G$38))*(I130-B.2!$G$38),0))</f>
        <v>0</v>
      </c>
      <c r="K130" s="419"/>
      <c r="L130" s="296">
        <v>36</v>
      </c>
      <c r="M130" s="296">
        <f>IF(L130&lt;=B.2!$G$41,B.2!$H$41,IF(AND(L130&lt;=B.2!$G$40,L130&gt;B.2!$G$41),0+((B.2!$H$41-B.2!$H$40)/(B.2!$G$41-B.2!$G$40))*(L130-B.2!$G$40),0))</f>
        <v>120</v>
      </c>
      <c r="N130" s="419"/>
      <c r="O130" s="296"/>
      <c r="P130" s="296"/>
      <c r="Q130" s="276"/>
      <c r="R130" s="295"/>
      <c r="S130" s="420"/>
      <c r="T130" s="297">
        <v>36</v>
      </c>
      <c r="U130" s="297">
        <f>IF(T130&lt;=B.2!$L$35,B.2!$M$35,IF(AND(T130&lt;=B.2!$L$34,T130&gt;B.2!$L$35),0+((B.2!$M$35-B.2!$M$34)/(B.2!$L$35-B.2!$L$34))*(T130-B.2!$L$34),0))</f>
        <v>16.25</v>
      </c>
      <c r="V130" s="421"/>
      <c r="W130" s="297"/>
      <c r="X130" s="297"/>
      <c r="Y130" s="420"/>
      <c r="Z130" s="297">
        <v>36</v>
      </c>
      <c r="AA130" s="297">
        <f>IF(Z130&lt;=B.2!$L$39,B.2!$M$39,IF(AND(Z130&lt;=B.2!$L$38,Z130&gt;B.2!$L$39),0+((B.2!$M$39-B.2!$M$38)/(B.2!$L$39-B.2!$L$38))*(Z130-B.2!$L$38),0))</f>
        <v>14</v>
      </c>
      <c r="AB130" s="421"/>
      <c r="AC130" s="297">
        <v>36</v>
      </c>
      <c r="AD130" s="297">
        <f>IF(AC130&lt;=B.2!$L$41,B.2!$M$41,IF(AND(AC130&lt;=B.2!$L$40,AC130&gt;B.2!$L$41),0+((B.2!$M$41-B.2!$M$40)/(B.2!$L$41-B.2!$L$40))*(AC130-B.2!$L$40),0))</f>
        <v>120</v>
      </c>
      <c r="AE130" s="421"/>
      <c r="AF130" s="297"/>
      <c r="AG130" s="297"/>
      <c r="AH130" s="146"/>
    </row>
    <row r="131" spans="2:34">
      <c r="B131" s="145"/>
      <c r="C131" s="296">
        <v>37</v>
      </c>
      <c r="D131" s="296">
        <f>IF(C131&lt;=B.2!$G$35,B.2!$H$35,IF(AND(C131&lt;=B.2!$G$34,C131&gt;B.2!$G$35),0+((B.2!$H$35-B.2!$H$34)/(B.2!$G$35-B.2!$G$34))*(C131-B.2!$G$34),0))</f>
        <v>8.9285714285714288</v>
      </c>
      <c r="E131" s="419"/>
      <c r="F131" s="296"/>
      <c r="G131" s="296"/>
      <c r="H131" s="276"/>
      <c r="I131" s="296">
        <v>37</v>
      </c>
      <c r="J131" s="296">
        <f>IF(I131&lt;=B.2!$G$39,B.2!$H$39,IF(AND(I131&lt;=B.2!$G$38,I131&gt;B.2!$G$39),0+((B.2!$H$39-B.2!$H$38)/(B.2!$G$39-B.2!$G$38))*(I131-B.2!$G$38),0))</f>
        <v>0</v>
      </c>
      <c r="K131" s="419"/>
      <c r="L131" s="296">
        <v>37</v>
      </c>
      <c r="M131" s="296">
        <f>IF(L131&lt;=B.2!$G$41,B.2!$H$41,IF(AND(L131&lt;=B.2!$G$40,L131&gt;B.2!$G$41),0+((B.2!$H$41-B.2!$H$40)/(B.2!$G$41-B.2!$G$40))*(L131-B.2!$G$40),0))</f>
        <v>120</v>
      </c>
      <c r="N131" s="419"/>
      <c r="O131" s="296"/>
      <c r="P131" s="296"/>
      <c r="Q131" s="276"/>
      <c r="R131" s="295"/>
      <c r="S131" s="420"/>
      <c r="T131" s="297">
        <v>37</v>
      </c>
      <c r="U131" s="297">
        <f>IF(T131&lt;=B.2!$L$35,B.2!$M$35,IF(AND(T131&lt;=B.2!$L$34,T131&gt;B.2!$L$35),0+((B.2!$M$35-B.2!$M$34)/(B.2!$L$35-B.2!$L$34))*(T131-B.2!$L$34),0))</f>
        <v>15.625</v>
      </c>
      <c r="V131" s="421"/>
      <c r="W131" s="297"/>
      <c r="X131" s="297"/>
      <c r="Y131" s="420"/>
      <c r="Z131" s="297">
        <v>37</v>
      </c>
      <c r="AA131" s="297">
        <f>IF(Z131&lt;=B.2!$L$39,B.2!$M$39,IF(AND(Z131&lt;=B.2!$L$38,Z131&gt;B.2!$L$39),0+((B.2!$M$39-B.2!$M$38)/(B.2!$L$39-B.2!$L$38))*(Z131-B.2!$L$38),0))</f>
        <v>13</v>
      </c>
      <c r="AB131" s="421"/>
      <c r="AC131" s="297">
        <v>37</v>
      </c>
      <c r="AD131" s="297">
        <f>IF(AC131&lt;=B.2!$L$41,B.2!$M$41,IF(AND(AC131&lt;=B.2!$L$40,AC131&gt;B.2!$L$41),0+((B.2!$M$41-B.2!$M$40)/(B.2!$L$41-B.2!$L$40))*(AC131-B.2!$L$40),0))</f>
        <v>120</v>
      </c>
      <c r="AE131" s="421"/>
      <c r="AF131" s="297"/>
      <c r="AG131" s="297"/>
      <c r="AH131" s="146"/>
    </row>
    <row r="132" spans="2:34">
      <c r="B132" s="145"/>
      <c r="C132" s="296">
        <v>38</v>
      </c>
      <c r="D132" s="296">
        <f>IF(C132&lt;=B.2!$G$35,B.2!$H$35,IF(AND(C132&lt;=B.2!$G$34,C132&gt;B.2!$G$35),0+((B.2!$H$35-B.2!$H$34)/(B.2!$G$35-B.2!$G$34))*(C132-B.2!$G$34),0))</f>
        <v>8.3333333333333339</v>
      </c>
      <c r="E132" s="419"/>
      <c r="F132" s="296"/>
      <c r="G132" s="296"/>
      <c r="H132" s="276"/>
      <c r="I132" s="296">
        <v>38</v>
      </c>
      <c r="J132" s="296">
        <f>IF(I132&lt;=B.2!$G$39,B.2!$H$39,IF(AND(I132&lt;=B.2!$G$38,I132&gt;B.2!$G$39),0+((B.2!$H$39-B.2!$H$38)/(B.2!$G$39-B.2!$G$38))*(I132-B.2!$G$38),0))</f>
        <v>0</v>
      </c>
      <c r="K132" s="419"/>
      <c r="L132" s="296">
        <v>38</v>
      </c>
      <c r="M132" s="296">
        <f>IF(L132&lt;=B.2!$G$41,B.2!$H$41,IF(AND(L132&lt;=B.2!$G$40,L132&gt;B.2!$G$41),0+((B.2!$H$41-B.2!$H$40)/(B.2!$G$41-B.2!$G$40))*(L132-B.2!$G$40),0))</f>
        <v>120</v>
      </c>
      <c r="N132" s="419"/>
      <c r="O132" s="296"/>
      <c r="P132" s="296"/>
      <c r="Q132" s="276"/>
      <c r="R132" s="295"/>
      <c r="S132" s="420"/>
      <c r="T132" s="297">
        <v>38</v>
      </c>
      <c r="U132" s="297">
        <f>IF(T132&lt;=B.2!$L$35,B.2!$M$35,IF(AND(T132&lt;=B.2!$L$34,T132&gt;B.2!$L$35),0+((B.2!$M$35-B.2!$M$34)/(B.2!$L$35-B.2!$L$34))*(T132-B.2!$L$34),0))</f>
        <v>15</v>
      </c>
      <c r="V132" s="421"/>
      <c r="W132" s="297"/>
      <c r="X132" s="297"/>
      <c r="Y132" s="420"/>
      <c r="Z132" s="297">
        <v>38</v>
      </c>
      <c r="AA132" s="297">
        <f>IF(Z132&lt;=B.2!$L$39,B.2!$M$39,IF(AND(Z132&lt;=B.2!$L$38,Z132&gt;B.2!$L$39),0+((B.2!$M$39-B.2!$M$38)/(B.2!$L$39-B.2!$L$38))*(Z132-B.2!$L$38),0))</f>
        <v>12</v>
      </c>
      <c r="AB132" s="421"/>
      <c r="AC132" s="297">
        <v>38</v>
      </c>
      <c r="AD132" s="297">
        <f>IF(AC132&lt;=B.2!$L$41,B.2!$M$41,IF(AND(AC132&lt;=B.2!$L$40,AC132&gt;B.2!$L$41),0+((B.2!$M$41-B.2!$M$40)/(B.2!$L$41-B.2!$L$40))*(AC132-B.2!$L$40),0))</f>
        <v>120</v>
      </c>
      <c r="AE132" s="421"/>
      <c r="AF132" s="297"/>
      <c r="AG132" s="297"/>
      <c r="AH132" s="146"/>
    </row>
    <row r="133" spans="2:34">
      <c r="B133" s="145"/>
      <c r="C133" s="296">
        <v>39</v>
      </c>
      <c r="D133" s="296">
        <f>IF(C133&lt;=B.2!$G$35,B.2!$H$35,IF(AND(C133&lt;=B.2!$G$34,C133&gt;B.2!$G$35),0+((B.2!$H$35-B.2!$H$34)/(B.2!$G$35-B.2!$G$34))*(C133-B.2!$G$34),0))</f>
        <v>7.7380952380952381</v>
      </c>
      <c r="E133" s="419"/>
      <c r="F133" s="296"/>
      <c r="G133" s="296"/>
      <c r="H133" s="276"/>
      <c r="I133" s="296">
        <v>39</v>
      </c>
      <c r="J133" s="296">
        <f>IF(I133&lt;=B.2!$G$39,B.2!$H$39,IF(AND(I133&lt;=B.2!$G$38,I133&gt;B.2!$G$39),0+((B.2!$H$39-B.2!$H$38)/(B.2!$G$39-B.2!$G$38))*(I133-B.2!$G$38),0))</f>
        <v>0</v>
      </c>
      <c r="K133" s="419"/>
      <c r="L133" s="296">
        <v>39</v>
      </c>
      <c r="M133" s="296">
        <f>IF(L133&lt;=B.2!$G$41,B.2!$H$41,IF(AND(L133&lt;=B.2!$G$40,L133&gt;B.2!$G$41),0+((B.2!$H$41-B.2!$H$40)/(B.2!$G$41-B.2!$G$40))*(L133-B.2!$G$40),0))</f>
        <v>120</v>
      </c>
      <c r="N133" s="419"/>
      <c r="O133" s="296"/>
      <c r="P133" s="296"/>
      <c r="Q133" s="276"/>
      <c r="R133" s="295"/>
      <c r="S133" s="420"/>
      <c r="T133" s="297">
        <v>39</v>
      </c>
      <c r="U133" s="297">
        <f>IF(T133&lt;=B.2!$L$35,B.2!$M$35,IF(AND(T133&lt;=B.2!$L$34,T133&gt;B.2!$L$35),0+((B.2!$M$35-B.2!$M$34)/(B.2!$L$35-B.2!$L$34))*(T133-B.2!$L$34),0))</f>
        <v>14.375</v>
      </c>
      <c r="V133" s="421"/>
      <c r="W133" s="297"/>
      <c r="X133" s="297"/>
      <c r="Y133" s="420"/>
      <c r="Z133" s="297">
        <v>39</v>
      </c>
      <c r="AA133" s="297">
        <f>IF(Z133&lt;=B.2!$L$39,B.2!$M$39,IF(AND(Z133&lt;=B.2!$L$38,Z133&gt;B.2!$L$39),0+((B.2!$M$39-B.2!$M$38)/(B.2!$L$39-B.2!$L$38))*(Z133-B.2!$L$38),0))</f>
        <v>11</v>
      </c>
      <c r="AB133" s="421"/>
      <c r="AC133" s="297">
        <v>39</v>
      </c>
      <c r="AD133" s="297">
        <f>IF(AC133&lt;=B.2!$L$41,B.2!$M$41,IF(AND(AC133&lt;=B.2!$L$40,AC133&gt;B.2!$L$41),0+((B.2!$M$41-B.2!$M$40)/(B.2!$L$41-B.2!$L$40))*(AC133-B.2!$L$40),0))</f>
        <v>120</v>
      </c>
      <c r="AE133" s="421"/>
      <c r="AF133" s="297"/>
      <c r="AG133" s="297"/>
      <c r="AH133" s="146"/>
    </row>
    <row r="134" spans="2:34">
      <c r="B134" s="145"/>
      <c r="C134" s="296">
        <v>40</v>
      </c>
      <c r="D134" s="296">
        <f>IF(C134&lt;=B.2!$G$35,B.2!$H$35,IF(AND(C134&lt;=B.2!$G$34,C134&gt;B.2!$G$35),0+((B.2!$H$35-B.2!$H$34)/(B.2!$G$35-B.2!$G$34))*(C134-B.2!$G$34),0))</f>
        <v>7.1428571428571423</v>
      </c>
      <c r="E134" s="419"/>
      <c r="F134" s="296"/>
      <c r="G134" s="296"/>
      <c r="H134" s="276"/>
      <c r="I134" s="296">
        <v>40</v>
      </c>
      <c r="J134" s="296">
        <f>IF(I134&lt;=B.2!$G$39,B.2!$H$39,IF(AND(I134&lt;=B.2!$G$38,I134&gt;B.2!$G$39),0+((B.2!$H$39-B.2!$H$38)/(B.2!$G$39-B.2!$G$38))*(I134-B.2!$G$38),0))</f>
        <v>0</v>
      </c>
      <c r="K134" s="419"/>
      <c r="L134" s="296">
        <v>40</v>
      </c>
      <c r="M134" s="296">
        <f>IF(L134&lt;=B.2!$G$41,B.2!$H$41,IF(AND(L134&lt;=B.2!$G$40,L134&gt;B.2!$G$41),0+((B.2!$H$41-B.2!$H$40)/(B.2!$G$41-B.2!$G$40))*(L134-B.2!$G$40),0))</f>
        <v>120</v>
      </c>
      <c r="N134" s="419"/>
      <c r="O134" s="296"/>
      <c r="P134" s="296"/>
      <c r="Q134" s="276"/>
      <c r="R134" s="295"/>
      <c r="S134" s="420"/>
      <c r="T134" s="297">
        <v>40</v>
      </c>
      <c r="U134" s="297">
        <f>IF(T134&lt;=B.2!$L$35,B.2!$M$35,IF(AND(T134&lt;=B.2!$L$34,T134&gt;B.2!$L$35),0+((B.2!$M$35-B.2!$M$34)/(B.2!$L$35-B.2!$L$34))*(T134-B.2!$L$34),0))</f>
        <v>13.75</v>
      </c>
      <c r="V134" s="421"/>
      <c r="W134" s="297"/>
      <c r="X134" s="297"/>
      <c r="Y134" s="420"/>
      <c r="Z134" s="297">
        <v>40</v>
      </c>
      <c r="AA134" s="297">
        <f>IF(Z134&lt;=B.2!$L$39,B.2!$M$39,IF(AND(Z134&lt;=B.2!$L$38,Z134&gt;B.2!$L$39),0+((B.2!$M$39-B.2!$M$38)/(B.2!$L$39-B.2!$L$38))*(Z134-B.2!$L$38),0))</f>
        <v>10</v>
      </c>
      <c r="AB134" s="421"/>
      <c r="AC134" s="297">
        <v>40</v>
      </c>
      <c r="AD134" s="297">
        <f>IF(AC134&lt;=B.2!$L$41,B.2!$M$41,IF(AND(AC134&lt;=B.2!$L$40,AC134&gt;B.2!$L$41),0+((B.2!$M$41-B.2!$M$40)/(B.2!$L$41-B.2!$L$40))*(AC134-B.2!$L$40),0))</f>
        <v>120</v>
      </c>
      <c r="AE134" s="421"/>
      <c r="AF134" s="297"/>
      <c r="AG134" s="297"/>
      <c r="AH134" s="146"/>
    </row>
    <row r="135" spans="2:34">
      <c r="B135" s="145"/>
      <c r="C135" s="296">
        <v>41</v>
      </c>
      <c r="D135" s="296">
        <f>IF(C135&lt;=B.2!$G$35,B.2!$H$35,IF(AND(C135&lt;=B.2!$G$34,C135&gt;B.2!$G$35),0+((B.2!$H$35-B.2!$H$34)/(B.2!$G$35-B.2!$G$34))*(C135-B.2!$G$34),0))</f>
        <v>6.5476190476190474</v>
      </c>
      <c r="E135" s="419"/>
      <c r="F135" s="296"/>
      <c r="G135" s="296"/>
      <c r="H135" s="276"/>
      <c r="I135" s="296">
        <v>41</v>
      </c>
      <c r="J135" s="296">
        <f>IF(I135&lt;=B.2!$G$39,B.2!$H$39,IF(AND(I135&lt;=B.2!$G$38,I135&gt;B.2!$G$39),0+((B.2!$H$39-B.2!$H$38)/(B.2!$G$39-B.2!$G$38))*(I135-B.2!$G$38),0))</f>
        <v>0</v>
      </c>
      <c r="K135" s="419"/>
      <c r="L135" s="296">
        <v>41</v>
      </c>
      <c r="M135" s="296">
        <f>IF(L135&lt;=B.2!$G$41,B.2!$H$41,IF(AND(L135&lt;=B.2!$G$40,L135&gt;B.2!$G$41),0+((B.2!$H$41-B.2!$H$40)/(B.2!$G$41-B.2!$G$40))*(L135-B.2!$G$40),0))</f>
        <v>120</v>
      </c>
      <c r="N135" s="419"/>
      <c r="O135" s="296"/>
      <c r="P135" s="296"/>
      <c r="Q135" s="276"/>
      <c r="R135" s="295"/>
      <c r="S135" s="420"/>
      <c r="T135" s="297">
        <v>41</v>
      </c>
      <c r="U135" s="297">
        <f>IF(T135&lt;=B.2!$L$35,B.2!$M$35,IF(AND(T135&lt;=B.2!$L$34,T135&gt;B.2!$L$35),0+((B.2!$M$35-B.2!$M$34)/(B.2!$L$35-B.2!$L$34))*(T135-B.2!$L$34),0))</f>
        <v>13.125</v>
      </c>
      <c r="V135" s="421"/>
      <c r="W135" s="297"/>
      <c r="X135" s="297"/>
      <c r="Y135" s="420"/>
      <c r="Z135" s="297">
        <v>41</v>
      </c>
      <c r="AA135" s="297">
        <f>IF(Z135&lt;=B.2!$L$39,B.2!$M$39,IF(AND(Z135&lt;=B.2!$L$38,Z135&gt;B.2!$L$39),0+((B.2!$M$39-B.2!$M$38)/(B.2!$L$39-B.2!$L$38))*(Z135-B.2!$L$38),0))</f>
        <v>9</v>
      </c>
      <c r="AB135" s="421"/>
      <c r="AC135" s="297">
        <v>41</v>
      </c>
      <c r="AD135" s="297">
        <f>IF(AC135&lt;=B.2!$L$41,B.2!$M$41,IF(AND(AC135&lt;=B.2!$L$40,AC135&gt;B.2!$L$41),0+((B.2!$M$41-B.2!$M$40)/(B.2!$L$41-B.2!$L$40))*(AC135-B.2!$L$40),0))</f>
        <v>120</v>
      </c>
      <c r="AE135" s="421"/>
      <c r="AF135" s="297"/>
      <c r="AG135" s="297"/>
      <c r="AH135" s="146"/>
    </row>
    <row r="136" spans="2:34">
      <c r="B136" s="145"/>
      <c r="C136" s="296">
        <v>42</v>
      </c>
      <c r="D136" s="296">
        <f>IF(C136&lt;=B.2!$G$35,B.2!$H$35,IF(AND(C136&lt;=B.2!$G$34,C136&gt;B.2!$G$35),0+((B.2!$H$35-B.2!$H$34)/(B.2!$G$35-B.2!$G$34))*(C136-B.2!$G$34),0))</f>
        <v>5.9523809523809526</v>
      </c>
      <c r="E136" s="419"/>
      <c r="F136" s="296"/>
      <c r="G136" s="296"/>
      <c r="H136" s="276"/>
      <c r="I136" s="296">
        <v>42</v>
      </c>
      <c r="J136" s="296">
        <f>IF(I136&lt;=B.2!$G$39,B.2!$H$39,IF(AND(I136&lt;=B.2!$G$38,I136&gt;B.2!$G$39),0+((B.2!$H$39-B.2!$H$38)/(B.2!$G$39-B.2!$G$38))*(I136-B.2!$G$38),0))</f>
        <v>0</v>
      </c>
      <c r="K136" s="419"/>
      <c r="L136" s="296">
        <v>42</v>
      </c>
      <c r="M136" s="296">
        <f>IF(L136&lt;=B.2!$G$41,B.2!$H$41,IF(AND(L136&lt;=B.2!$G$40,L136&gt;B.2!$G$41),0+((B.2!$H$41-B.2!$H$40)/(B.2!$G$41-B.2!$G$40))*(L136-B.2!$G$40),0))</f>
        <v>120</v>
      </c>
      <c r="N136" s="419"/>
      <c r="O136" s="296"/>
      <c r="P136" s="296"/>
      <c r="Q136" s="276"/>
      <c r="R136" s="295"/>
      <c r="S136" s="420"/>
      <c r="T136" s="297">
        <v>42</v>
      </c>
      <c r="U136" s="297">
        <f>IF(T136&lt;=B.2!$L$35,B.2!$M$35,IF(AND(T136&lt;=B.2!$L$34,T136&gt;B.2!$L$35),0+((B.2!$M$35-B.2!$M$34)/(B.2!$L$35-B.2!$L$34))*(T136-B.2!$L$34),0))</f>
        <v>12.5</v>
      </c>
      <c r="V136" s="421"/>
      <c r="W136" s="297"/>
      <c r="X136" s="297"/>
      <c r="Y136" s="420"/>
      <c r="Z136" s="297">
        <v>42</v>
      </c>
      <c r="AA136" s="297">
        <f>IF(Z136&lt;=B.2!$L$39,B.2!$M$39,IF(AND(Z136&lt;=B.2!$L$38,Z136&gt;B.2!$L$39),0+((B.2!$M$39-B.2!$M$38)/(B.2!$L$39-B.2!$L$38))*(Z136-B.2!$L$38),0))</f>
        <v>8</v>
      </c>
      <c r="AB136" s="421"/>
      <c r="AC136" s="297">
        <v>42</v>
      </c>
      <c r="AD136" s="297">
        <f>IF(AC136&lt;=B.2!$L$41,B.2!$M$41,IF(AND(AC136&lt;=B.2!$L$40,AC136&gt;B.2!$L$41),0+((B.2!$M$41-B.2!$M$40)/(B.2!$L$41-B.2!$L$40))*(AC136-B.2!$L$40),0))</f>
        <v>120</v>
      </c>
      <c r="AE136" s="421"/>
      <c r="AF136" s="297"/>
      <c r="AG136" s="297"/>
      <c r="AH136" s="146"/>
    </row>
    <row r="137" spans="2:34">
      <c r="B137" s="145"/>
      <c r="C137" s="296">
        <v>43</v>
      </c>
      <c r="D137" s="296">
        <f>IF(C137&lt;=B.2!$G$35,B.2!$H$35,IF(AND(C137&lt;=B.2!$G$34,C137&gt;B.2!$G$35),0+((B.2!$H$35-B.2!$H$34)/(B.2!$G$35-B.2!$G$34))*(C137-B.2!$G$34),0))</f>
        <v>5.3571428571428568</v>
      </c>
      <c r="E137" s="419"/>
      <c r="F137" s="296"/>
      <c r="G137" s="296"/>
      <c r="H137" s="276"/>
      <c r="I137" s="296">
        <v>43</v>
      </c>
      <c r="J137" s="296">
        <f>IF(I137&lt;=B.2!$G$39,B.2!$H$39,IF(AND(I137&lt;=B.2!$G$38,I137&gt;B.2!$G$39),0+((B.2!$H$39-B.2!$H$38)/(B.2!$G$39-B.2!$G$38))*(I137-B.2!$G$38),0))</f>
        <v>0</v>
      </c>
      <c r="K137" s="419"/>
      <c r="L137" s="296">
        <v>43</v>
      </c>
      <c r="M137" s="296">
        <f>IF(L137&lt;=B.2!$G$41,B.2!$H$41,IF(AND(L137&lt;=B.2!$G$40,L137&gt;B.2!$G$41),0+((B.2!$H$41-B.2!$H$40)/(B.2!$G$41-B.2!$G$40))*(L137-B.2!$G$40),0))</f>
        <v>120</v>
      </c>
      <c r="N137" s="419"/>
      <c r="O137" s="296"/>
      <c r="P137" s="296"/>
      <c r="Q137" s="276"/>
      <c r="R137" s="295"/>
      <c r="S137" s="420"/>
      <c r="T137" s="297">
        <v>43</v>
      </c>
      <c r="U137" s="297">
        <f>IF(T137&lt;=B.2!$L$35,B.2!$M$35,IF(AND(T137&lt;=B.2!$L$34,T137&gt;B.2!$L$35),0+((B.2!$M$35-B.2!$M$34)/(B.2!$L$35-B.2!$L$34))*(T137-B.2!$L$34),0))</f>
        <v>11.875</v>
      </c>
      <c r="V137" s="421"/>
      <c r="W137" s="297"/>
      <c r="X137" s="297"/>
      <c r="Y137" s="420"/>
      <c r="Z137" s="297">
        <v>43</v>
      </c>
      <c r="AA137" s="297">
        <f>IF(Z137&lt;=B.2!$L$39,B.2!$M$39,IF(AND(Z137&lt;=B.2!$L$38,Z137&gt;B.2!$L$39),0+((B.2!$M$39-B.2!$M$38)/(B.2!$L$39-B.2!$L$38))*(Z137-B.2!$L$38),0))</f>
        <v>7</v>
      </c>
      <c r="AB137" s="421"/>
      <c r="AC137" s="297">
        <v>43</v>
      </c>
      <c r="AD137" s="297">
        <f>IF(AC137&lt;=B.2!$L$41,B.2!$M$41,IF(AND(AC137&lt;=B.2!$L$40,AC137&gt;B.2!$L$41),0+((B.2!$M$41-B.2!$M$40)/(B.2!$L$41-B.2!$L$40))*(AC137-B.2!$L$40),0))</f>
        <v>120</v>
      </c>
      <c r="AE137" s="421"/>
      <c r="AF137" s="297"/>
      <c r="AG137" s="297"/>
      <c r="AH137" s="146"/>
    </row>
    <row r="138" spans="2:34">
      <c r="B138" s="145"/>
      <c r="C138" s="296">
        <v>44</v>
      </c>
      <c r="D138" s="296">
        <f>IF(C138&lt;=B.2!$G$35,B.2!$H$35,IF(AND(C138&lt;=B.2!$G$34,C138&gt;B.2!$G$35),0+((B.2!$H$35-B.2!$H$34)/(B.2!$G$35-B.2!$G$34))*(C138-B.2!$G$34),0))</f>
        <v>4.7619047619047619</v>
      </c>
      <c r="E138" s="419"/>
      <c r="F138" s="296"/>
      <c r="G138" s="296"/>
      <c r="H138" s="276"/>
      <c r="I138" s="296">
        <v>44</v>
      </c>
      <c r="J138" s="296">
        <f>IF(I138&lt;=B.2!$G$39,B.2!$H$39,IF(AND(I138&lt;=B.2!$G$38,I138&gt;B.2!$G$39),0+((B.2!$H$39-B.2!$H$38)/(B.2!$G$39-B.2!$G$38))*(I138-B.2!$G$38),0))</f>
        <v>0</v>
      </c>
      <c r="K138" s="419"/>
      <c r="L138" s="296">
        <v>44</v>
      </c>
      <c r="M138" s="296">
        <f>IF(L138&lt;=B.2!$G$41,B.2!$H$41,IF(AND(L138&lt;=B.2!$G$40,L138&gt;B.2!$G$41),0+((B.2!$H$41-B.2!$H$40)/(B.2!$G$41-B.2!$G$40))*(L138-B.2!$G$40),0))</f>
        <v>118.26086956521739</v>
      </c>
      <c r="N138" s="419"/>
      <c r="O138" s="296"/>
      <c r="P138" s="296"/>
      <c r="Q138" s="276"/>
      <c r="R138" s="295"/>
      <c r="S138" s="420"/>
      <c r="T138" s="297">
        <v>44</v>
      </c>
      <c r="U138" s="297">
        <f>IF(T138&lt;=B.2!$L$35,B.2!$M$35,IF(AND(T138&lt;=B.2!$L$34,T138&gt;B.2!$L$35),0+((B.2!$M$35-B.2!$M$34)/(B.2!$L$35-B.2!$L$34))*(T138-B.2!$L$34),0))</f>
        <v>11.25</v>
      </c>
      <c r="V138" s="421"/>
      <c r="W138" s="297"/>
      <c r="X138" s="297"/>
      <c r="Y138" s="420"/>
      <c r="Z138" s="297">
        <v>44</v>
      </c>
      <c r="AA138" s="297">
        <f>IF(Z138&lt;=B.2!$L$39,B.2!$M$39,IF(AND(Z138&lt;=B.2!$L$38,Z138&gt;B.2!$L$39),0+((B.2!$M$39-B.2!$M$38)/(B.2!$L$39-B.2!$L$38))*(Z138-B.2!$L$38),0))</f>
        <v>6</v>
      </c>
      <c r="AB138" s="421"/>
      <c r="AC138" s="297">
        <v>44</v>
      </c>
      <c r="AD138" s="297">
        <f>IF(AC138&lt;=B.2!$L$41,B.2!$M$41,IF(AND(AC138&lt;=B.2!$L$40,AC138&gt;B.2!$L$41),0+((B.2!$M$41-B.2!$M$40)/(B.2!$L$41-B.2!$L$40))*(AC138-B.2!$L$40),0))</f>
        <v>118.83495145631068</v>
      </c>
      <c r="AE138" s="421"/>
      <c r="AF138" s="297"/>
      <c r="AG138" s="297"/>
      <c r="AH138" s="146"/>
    </row>
    <row r="139" spans="2:34">
      <c r="B139" s="145"/>
      <c r="C139" s="296">
        <v>45</v>
      </c>
      <c r="D139" s="296">
        <f>IF(C139&lt;=B.2!$G$35,B.2!$H$35,IF(AND(C139&lt;=B.2!$G$34,C139&gt;B.2!$G$35),0+((B.2!$H$35-B.2!$H$34)/(B.2!$G$35-B.2!$G$34))*(C139-B.2!$G$34),0))</f>
        <v>4.166666666666667</v>
      </c>
      <c r="E139" s="419"/>
      <c r="F139" s="296"/>
      <c r="G139" s="296"/>
      <c r="H139" s="276"/>
      <c r="I139" s="296">
        <v>45</v>
      </c>
      <c r="J139" s="296">
        <f>IF(I139&lt;=B.2!$G$39,B.2!$H$39,IF(AND(I139&lt;=B.2!$G$38,I139&gt;B.2!$G$39),0+((B.2!$H$39-B.2!$H$38)/(B.2!$G$39-B.2!$G$38))*(I139-B.2!$G$38),0))</f>
        <v>0</v>
      </c>
      <c r="K139" s="419"/>
      <c r="L139" s="296">
        <v>45</v>
      </c>
      <c r="M139" s="296">
        <f>IF(L139&lt;=B.2!$G$41,B.2!$H$41,IF(AND(L139&lt;=B.2!$G$40,L139&gt;B.2!$G$41),0+((B.2!$H$41-B.2!$H$40)/(B.2!$G$41-B.2!$G$40))*(L139-B.2!$G$40),0))</f>
        <v>116.52173913043478</v>
      </c>
      <c r="N139" s="419"/>
      <c r="O139" s="296"/>
      <c r="P139" s="296"/>
      <c r="Q139" s="276"/>
      <c r="R139" s="295"/>
      <c r="S139" s="420"/>
      <c r="T139" s="297">
        <v>45</v>
      </c>
      <c r="U139" s="297">
        <f>IF(T139&lt;=B.2!$L$35,B.2!$M$35,IF(AND(T139&lt;=B.2!$L$34,T139&gt;B.2!$L$35),0+((B.2!$M$35-B.2!$M$34)/(B.2!$L$35-B.2!$L$34))*(T139-B.2!$L$34),0))</f>
        <v>10.625</v>
      </c>
      <c r="V139" s="421"/>
      <c r="W139" s="297"/>
      <c r="X139" s="297"/>
      <c r="Y139" s="420"/>
      <c r="Z139" s="297">
        <v>45</v>
      </c>
      <c r="AA139" s="297">
        <f>IF(Z139&lt;=B.2!$L$39,B.2!$M$39,IF(AND(Z139&lt;=B.2!$L$38,Z139&gt;B.2!$L$39),0+((B.2!$M$39-B.2!$M$38)/(B.2!$L$39-B.2!$L$38))*(Z139-B.2!$L$38),0))</f>
        <v>5</v>
      </c>
      <c r="AB139" s="421"/>
      <c r="AC139" s="297">
        <v>45</v>
      </c>
      <c r="AD139" s="297">
        <f>IF(AC139&lt;=B.2!$L$41,B.2!$M$41,IF(AND(AC139&lt;=B.2!$L$40,AC139&gt;B.2!$L$41),0+((B.2!$M$41-B.2!$M$40)/(B.2!$L$41-B.2!$L$40))*(AC139-B.2!$L$40),0))</f>
        <v>117.66990291262135</v>
      </c>
      <c r="AE139" s="421"/>
      <c r="AF139" s="297"/>
      <c r="AG139" s="297"/>
      <c r="AH139" s="146"/>
    </row>
    <row r="140" spans="2:34">
      <c r="B140" s="145"/>
      <c r="C140" s="296">
        <v>46</v>
      </c>
      <c r="D140" s="296">
        <f>IF(C140&lt;=B.2!$G$35,B.2!$H$35,IF(AND(C140&lt;=B.2!$G$34,C140&gt;B.2!$G$35),0+((B.2!$H$35-B.2!$H$34)/(B.2!$G$35-B.2!$G$34))*(C140-B.2!$G$34),0))</f>
        <v>3.5714285714285712</v>
      </c>
      <c r="E140" s="419"/>
      <c r="F140" s="296"/>
      <c r="G140" s="296"/>
      <c r="H140" s="276"/>
      <c r="I140" s="296">
        <v>46</v>
      </c>
      <c r="J140" s="296">
        <f>IF(I140&lt;=B.2!$G$39,B.2!$H$39,IF(AND(I140&lt;=B.2!$G$38,I140&gt;B.2!$G$39),0+((B.2!$H$39-B.2!$H$38)/(B.2!$G$39-B.2!$G$38))*(I140-B.2!$G$38),0))</f>
        <v>0</v>
      </c>
      <c r="K140" s="419"/>
      <c r="L140" s="296">
        <v>46</v>
      </c>
      <c r="M140" s="296">
        <f>IF(L140&lt;=B.2!$G$41,B.2!$H$41,IF(AND(L140&lt;=B.2!$G$40,L140&gt;B.2!$G$41),0+((B.2!$H$41-B.2!$H$40)/(B.2!$G$41-B.2!$G$40))*(L140-B.2!$G$40),0))</f>
        <v>114.78260869565217</v>
      </c>
      <c r="N140" s="419"/>
      <c r="O140" s="296"/>
      <c r="P140" s="296"/>
      <c r="Q140" s="276"/>
      <c r="R140" s="295"/>
      <c r="S140" s="420"/>
      <c r="T140" s="297">
        <v>46</v>
      </c>
      <c r="U140" s="297">
        <f>IF(T140&lt;=B.2!$L$35,B.2!$M$35,IF(AND(T140&lt;=B.2!$L$34,T140&gt;B.2!$L$35),0+((B.2!$M$35-B.2!$M$34)/(B.2!$L$35-B.2!$L$34))*(T140-B.2!$L$34),0))</f>
        <v>10</v>
      </c>
      <c r="V140" s="421"/>
      <c r="W140" s="297"/>
      <c r="X140" s="297"/>
      <c r="Y140" s="420"/>
      <c r="Z140" s="297">
        <v>46</v>
      </c>
      <c r="AA140" s="297">
        <f>IF(Z140&lt;=B.2!$L$39,B.2!$M$39,IF(AND(Z140&lt;=B.2!$L$38,Z140&gt;B.2!$L$39),0+((B.2!$M$39-B.2!$M$38)/(B.2!$L$39-B.2!$L$38))*(Z140-B.2!$L$38),0))</f>
        <v>4</v>
      </c>
      <c r="AB140" s="421"/>
      <c r="AC140" s="297">
        <v>46</v>
      </c>
      <c r="AD140" s="297">
        <f>IF(AC140&lt;=B.2!$L$41,B.2!$M$41,IF(AND(AC140&lt;=B.2!$L$40,AC140&gt;B.2!$L$41),0+((B.2!$M$41-B.2!$M$40)/(B.2!$L$41-B.2!$L$40))*(AC140-B.2!$L$40),0))</f>
        <v>116.50485436893203</v>
      </c>
      <c r="AE140" s="421"/>
      <c r="AF140" s="297"/>
      <c r="AG140" s="297"/>
      <c r="AH140" s="146"/>
    </row>
    <row r="141" spans="2:34">
      <c r="B141" s="145"/>
      <c r="C141" s="296">
        <v>47</v>
      </c>
      <c r="D141" s="296">
        <f>IF(C141&lt;=B.2!$G$35,B.2!$H$35,IF(AND(C141&lt;=B.2!$G$34,C141&gt;B.2!$G$35),0+((B.2!$H$35-B.2!$H$34)/(B.2!$G$35-B.2!$G$34))*(C141-B.2!$G$34),0))</f>
        <v>2.9761904761904763</v>
      </c>
      <c r="E141" s="419"/>
      <c r="F141" s="296"/>
      <c r="G141" s="296"/>
      <c r="H141" s="276"/>
      <c r="I141" s="296">
        <v>47</v>
      </c>
      <c r="J141" s="296">
        <f>IF(I141&lt;=B.2!$G$39,B.2!$H$39,IF(AND(I141&lt;=B.2!$G$38,I141&gt;B.2!$G$39),0+((B.2!$H$39-B.2!$H$38)/(B.2!$G$39-B.2!$G$38))*(I141-B.2!$G$38),0))</f>
        <v>0</v>
      </c>
      <c r="K141" s="419"/>
      <c r="L141" s="296">
        <v>47</v>
      </c>
      <c r="M141" s="296">
        <f>IF(L141&lt;=B.2!$G$41,B.2!$H$41,IF(AND(L141&lt;=B.2!$G$40,L141&gt;B.2!$G$41),0+((B.2!$H$41-B.2!$H$40)/(B.2!$G$41-B.2!$G$40))*(L141-B.2!$G$40),0))</f>
        <v>113.04347826086956</v>
      </c>
      <c r="N141" s="419"/>
      <c r="O141" s="296"/>
      <c r="P141" s="296"/>
      <c r="Q141" s="276"/>
      <c r="R141" s="295"/>
      <c r="S141" s="420"/>
      <c r="T141" s="297">
        <v>47</v>
      </c>
      <c r="U141" s="297">
        <f>IF(T141&lt;=B.2!$L$35,B.2!$M$35,IF(AND(T141&lt;=B.2!$L$34,T141&gt;B.2!$L$35),0+((B.2!$M$35-B.2!$M$34)/(B.2!$L$35-B.2!$L$34))*(T141-B.2!$L$34),0))</f>
        <v>9.375</v>
      </c>
      <c r="V141" s="421"/>
      <c r="W141" s="297"/>
      <c r="X141" s="297"/>
      <c r="Y141" s="420"/>
      <c r="Z141" s="297">
        <v>47</v>
      </c>
      <c r="AA141" s="297">
        <f>IF(Z141&lt;=B.2!$L$39,B.2!$M$39,IF(AND(Z141&lt;=B.2!$L$38,Z141&gt;B.2!$L$39),0+((B.2!$M$39-B.2!$M$38)/(B.2!$L$39-B.2!$L$38))*(Z141-B.2!$L$38),0))</f>
        <v>3</v>
      </c>
      <c r="AB141" s="421"/>
      <c r="AC141" s="297">
        <v>47</v>
      </c>
      <c r="AD141" s="297">
        <f>IF(AC141&lt;=B.2!$L$41,B.2!$M$41,IF(AND(AC141&lt;=B.2!$L$40,AC141&gt;B.2!$L$41),0+((B.2!$M$41-B.2!$M$40)/(B.2!$L$41-B.2!$L$40))*(AC141-B.2!$L$40),0))</f>
        <v>115.33980582524271</v>
      </c>
      <c r="AE141" s="421"/>
      <c r="AF141" s="297"/>
      <c r="AG141" s="297"/>
      <c r="AH141" s="146"/>
    </row>
    <row r="142" spans="2:34">
      <c r="B142" s="145"/>
      <c r="C142" s="296">
        <v>48</v>
      </c>
      <c r="D142" s="296">
        <f>IF(C142&lt;=B.2!$G$35,B.2!$H$35,IF(AND(C142&lt;=B.2!$G$34,C142&gt;B.2!$G$35),0+((B.2!$H$35-B.2!$H$34)/(B.2!$G$35-B.2!$G$34))*(C142-B.2!$G$34),0))</f>
        <v>2.3809523809523809</v>
      </c>
      <c r="E142" s="419"/>
      <c r="F142" s="296"/>
      <c r="G142" s="296"/>
      <c r="H142" s="276"/>
      <c r="I142" s="296">
        <v>48</v>
      </c>
      <c r="J142" s="296">
        <f>IF(I142&lt;=B.2!$G$39,B.2!$H$39,IF(AND(I142&lt;=B.2!$G$38,I142&gt;B.2!$G$39),0+((B.2!$H$39-B.2!$H$38)/(B.2!$G$39-B.2!$G$38))*(I142-B.2!$G$38),0))</f>
        <v>0</v>
      </c>
      <c r="K142" s="419"/>
      <c r="L142" s="296">
        <v>48</v>
      </c>
      <c r="M142" s="296">
        <f>IF(L142&lt;=B.2!$G$41,B.2!$H$41,IF(AND(L142&lt;=B.2!$G$40,L142&gt;B.2!$G$41),0+((B.2!$H$41-B.2!$H$40)/(B.2!$G$41-B.2!$G$40))*(L142-B.2!$G$40),0))</f>
        <v>111.30434782608695</v>
      </c>
      <c r="N142" s="419"/>
      <c r="O142" s="296"/>
      <c r="P142" s="296"/>
      <c r="Q142" s="276"/>
      <c r="R142" s="295"/>
      <c r="S142" s="420"/>
      <c r="T142" s="297">
        <v>48</v>
      </c>
      <c r="U142" s="297">
        <f>IF(T142&lt;=B.2!$L$35,B.2!$M$35,IF(AND(T142&lt;=B.2!$L$34,T142&gt;B.2!$L$35),0+((B.2!$M$35-B.2!$M$34)/(B.2!$L$35-B.2!$L$34))*(T142-B.2!$L$34),0))</f>
        <v>8.75</v>
      </c>
      <c r="V142" s="421"/>
      <c r="W142" s="297"/>
      <c r="X142" s="297"/>
      <c r="Y142" s="420"/>
      <c r="Z142" s="297">
        <v>48</v>
      </c>
      <c r="AA142" s="297">
        <f>IF(Z142&lt;=B.2!$L$39,B.2!$M$39,IF(AND(Z142&lt;=B.2!$L$38,Z142&gt;B.2!$L$39),0+((B.2!$M$39-B.2!$M$38)/(B.2!$L$39-B.2!$L$38))*(Z142-B.2!$L$38),0))</f>
        <v>2</v>
      </c>
      <c r="AB142" s="421"/>
      <c r="AC142" s="297">
        <v>48</v>
      </c>
      <c r="AD142" s="297">
        <f>IF(AC142&lt;=B.2!$L$41,B.2!$M$41,IF(AND(AC142&lt;=B.2!$L$40,AC142&gt;B.2!$L$41),0+((B.2!$M$41-B.2!$M$40)/(B.2!$L$41-B.2!$L$40))*(AC142-B.2!$L$40),0))</f>
        <v>114.1747572815534</v>
      </c>
      <c r="AE142" s="421"/>
      <c r="AF142" s="297"/>
      <c r="AG142" s="297"/>
      <c r="AH142" s="146"/>
    </row>
    <row r="143" spans="2:34">
      <c r="B143" s="145"/>
      <c r="C143" s="296">
        <v>49</v>
      </c>
      <c r="D143" s="296">
        <f>IF(C143&lt;=B.2!$G$35,B.2!$H$35,IF(AND(C143&lt;=B.2!$G$34,C143&gt;B.2!$G$35),0+((B.2!$H$35-B.2!$H$34)/(B.2!$G$35-B.2!$G$34))*(C143-B.2!$G$34),0))</f>
        <v>1.7857142857142856</v>
      </c>
      <c r="E143" s="419"/>
      <c r="F143" s="296"/>
      <c r="G143" s="296"/>
      <c r="H143" s="276"/>
      <c r="I143" s="296">
        <v>49</v>
      </c>
      <c r="J143" s="296">
        <f>IF(I143&lt;=B.2!$G$39,B.2!$H$39,IF(AND(I143&lt;=B.2!$G$38,I143&gt;B.2!$G$39),0+((B.2!$H$39-B.2!$H$38)/(B.2!$G$39-B.2!$G$38))*(I143-B.2!$G$38),0))</f>
        <v>0</v>
      </c>
      <c r="K143" s="419"/>
      <c r="L143" s="296">
        <v>49</v>
      </c>
      <c r="M143" s="296">
        <f>IF(L143&lt;=B.2!$G$41,B.2!$H$41,IF(AND(L143&lt;=B.2!$G$40,L143&gt;B.2!$G$41),0+((B.2!$H$41-B.2!$H$40)/(B.2!$G$41-B.2!$G$40))*(L143-B.2!$G$40),0))</f>
        <v>109.56521739130434</v>
      </c>
      <c r="N143" s="419"/>
      <c r="O143" s="296"/>
      <c r="P143" s="296"/>
      <c r="Q143" s="276"/>
      <c r="R143" s="295"/>
      <c r="S143" s="420"/>
      <c r="T143" s="297">
        <v>49</v>
      </c>
      <c r="U143" s="297">
        <f>IF(T143&lt;=B.2!$L$35,B.2!$M$35,IF(AND(T143&lt;=B.2!$L$34,T143&gt;B.2!$L$35),0+((B.2!$M$35-B.2!$M$34)/(B.2!$L$35-B.2!$L$34))*(T143-B.2!$L$34),0))</f>
        <v>8.125</v>
      </c>
      <c r="V143" s="421"/>
      <c r="W143" s="297"/>
      <c r="X143" s="297"/>
      <c r="Y143" s="420"/>
      <c r="Z143" s="297">
        <v>49</v>
      </c>
      <c r="AA143" s="297">
        <f>IF(Z143&lt;=B.2!$L$39,B.2!$M$39,IF(AND(Z143&lt;=B.2!$L$38,Z143&gt;B.2!$L$39),0+((B.2!$M$39-B.2!$M$38)/(B.2!$L$39-B.2!$L$38))*(Z143-B.2!$L$38),0))</f>
        <v>1</v>
      </c>
      <c r="AB143" s="421"/>
      <c r="AC143" s="297">
        <v>49</v>
      </c>
      <c r="AD143" s="297">
        <f>IF(AC143&lt;=B.2!$L$41,B.2!$M$41,IF(AND(AC143&lt;=B.2!$L$40,AC143&gt;B.2!$L$41),0+((B.2!$M$41-B.2!$M$40)/(B.2!$L$41-B.2!$L$40))*(AC143-B.2!$L$40),0))</f>
        <v>113.00970873786407</v>
      </c>
      <c r="AE143" s="421"/>
      <c r="AF143" s="297"/>
      <c r="AG143" s="297"/>
      <c r="AH143" s="146"/>
    </row>
    <row r="144" spans="2:34">
      <c r="B144" s="145"/>
      <c r="C144" s="296">
        <v>50</v>
      </c>
      <c r="D144" s="296">
        <f>IF(C144&lt;=B.2!$G$35,B.2!$H$35,IF(AND(C144&lt;=B.2!$G$34,C144&gt;B.2!$G$35),0+((B.2!$H$35-B.2!$H$34)/(B.2!$G$35-B.2!$G$34))*(C144-B.2!$G$34),0))</f>
        <v>1.1904761904761905</v>
      </c>
      <c r="E144" s="419"/>
      <c r="F144" s="296"/>
      <c r="G144" s="296"/>
      <c r="H144" s="276"/>
      <c r="I144" s="296">
        <v>50</v>
      </c>
      <c r="J144" s="296">
        <f>IF(I144&lt;=B.2!$G$39,B.2!$H$39,IF(AND(I144&lt;=B.2!$G$38,I144&gt;B.2!$G$39),0+((B.2!$H$39-B.2!$H$38)/(B.2!$G$39-B.2!$G$38))*(I144-B.2!$G$38),0))</f>
        <v>0</v>
      </c>
      <c r="K144" s="419"/>
      <c r="L144" s="296">
        <v>50</v>
      </c>
      <c r="M144" s="296">
        <f>IF(L144&lt;=B.2!$G$41,B.2!$H$41,IF(AND(L144&lt;=B.2!$G$40,L144&gt;B.2!$G$41),0+((B.2!$H$41-B.2!$H$40)/(B.2!$G$41-B.2!$G$40))*(L144-B.2!$G$40),0))</f>
        <v>107.82608695652173</v>
      </c>
      <c r="N144" s="419"/>
      <c r="O144" s="296"/>
      <c r="P144" s="296"/>
      <c r="Q144" s="276"/>
      <c r="R144" s="295"/>
      <c r="S144" s="420"/>
      <c r="T144" s="297">
        <v>50</v>
      </c>
      <c r="U144" s="297">
        <f>IF(T144&lt;=B.2!$L$35,B.2!$M$35,IF(AND(T144&lt;=B.2!$L$34,T144&gt;B.2!$L$35),0+((B.2!$M$35-B.2!$M$34)/(B.2!$L$35-B.2!$L$34))*(T144-B.2!$L$34),0))</f>
        <v>7.5</v>
      </c>
      <c r="V144" s="421"/>
      <c r="W144" s="297"/>
      <c r="X144" s="297"/>
      <c r="Y144" s="420"/>
      <c r="Z144" s="297">
        <v>50</v>
      </c>
      <c r="AA144" s="297">
        <f>IF(Z144&lt;=B.2!$L$39,B.2!$M$39,IF(AND(Z144&lt;=B.2!$L$38,Z144&gt;B.2!$L$39),0+((B.2!$M$39-B.2!$M$38)/(B.2!$L$39-B.2!$L$38))*(Z144-B.2!$L$38),0))</f>
        <v>0</v>
      </c>
      <c r="AB144" s="421"/>
      <c r="AC144" s="297">
        <v>50</v>
      </c>
      <c r="AD144" s="297">
        <f>IF(AC144&lt;=B.2!$L$41,B.2!$M$41,IF(AND(AC144&lt;=B.2!$L$40,AC144&gt;B.2!$L$41),0+((B.2!$M$41-B.2!$M$40)/(B.2!$L$41-B.2!$L$40))*(AC144-B.2!$L$40),0))</f>
        <v>111.84466019417475</v>
      </c>
      <c r="AE144" s="421"/>
      <c r="AF144" s="297"/>
      <c r="AG144" s="297"/>
      <c r="AH144" s="146"/>
    </row>
    <row r="145" spans="2:34">
      <c r="B145" s="145"/>
      <c r="C145" s="296">
        <v>51</v>
      </c>
      <c r="D145" s="296">
        <f>IF(C145&lt;=B.2!$G$35,B.2!$H$35,IF(AND(C145&lt;=B.2!$G$34,C145&gt;B.2!$G$35),0+((B.2!$H$35-B.2!$H$34)/(B.2!$G$35-B.2!$G$34))*(C145-B.2!$G$34),0))</f>
        <v>0.59523809523809523</v>
      </c>
      <c r="E145" s="419"/>
      <c r="F145" s="296"/>
      <c r="G145" s="296"/>
      <c r="H145" s="276"/>
      <c r="I145" s="296">
        <v>51</v>
      </c>
      <c r="J145" s="296">
        <f>IF(I145&lt;=B.2!$G$39,B.2!$H$39,IF(AND(I145&lt;=B.2!$G$38,I145&gt;B.2!$G$39),0+((B.2!$H$39-B.2!$H$38)/(B.2!$G$39-B.2!$G$38))*(I145-B.2!$G$38),0))</f>
        <v>0</v>
      </c>
      <c r="K145" s="419"/>
      <c r="L145" s="296">
        <v>51</v>
      </c>
      <c r="M145" s="296">
        <f>IF(L145&lt;=B.2!$G$41,B.2!$H$41,IF(AND(L145&lt;=B.2!$G$40,L145&gt;B.2!$G$41),0+((B.2!$H$41-B.2!$H$40)/(B.2!$G$41-B.2!$G$40))*(L145-B.2!$G$40),0))</f>
        <v>106.08695652173913</v>
      </c>
      <c r="N145" s="419"/>
      <c r="O145" s="296"/>
      <c r="P145" s="296"/>
      <c r="Q145" s="276"/>
      <c r="R145" s="295"/>
      <c r="S145" s="420"/>
      <c r="T145" s="297">
        <v>51</v>
      </c>
      <c r="U145" s="297">
        <f>IF(T145&lt;=B.2!$L$35,B.2!$M$35,IF(AND(T145&lt;=B.2!$L$34,T145&gt;B.2!$L$35),0+((B.2!$M$35-B.2!$M$34)/(B.2!$L$35-B.2!$L$34))*(T145-B.2!$L$34),0))</f>
        <v>6.875</v>
      </c>
      <c r="V145" s="421"/>
      <c r="W145" s="297"/>
      <c r="X145" s="297"/>
      <c r="Y145" s="420"/>
      <c r="Z145" s="297">
        <v>51</v>
      </c>
      <c r="AA145" s="297">
        <f>IF(Z145&lt;=B.2!$L$39,B.2!$M$39,IF(AND(Z145&lt;=B.2!$L$38,Z145&gt;B.2!$L$39),0+((B.2!$M$39-B.2!$M$38)/(B.2!$L$39-B.2!$L$38))*(Z145-B.2!$L$38),0))</f>
        <v>0</v>
      </c>
      <c r="AB145" s="421"/>
      <c r="AC145" s="297">
        <v>51</v>
      </c>
      <c r="AD145" s="297">
        <f>IF(AC145&lt;=B.2!$L$41,B.2!$M$41,IF(AND(AC145&lt;=B.2!$L$40,AC145&gt;B.2!$L$41),0+((B.2!$M$41-B.2!$M$40)/(B.2!$L$41-B.2!$L$40))*(AC145-B.2!$L$40),0))</f>
        <v>110.67961165048543</v>
      </c>
      <c r="AE145" s="421"/>
      <c r="AF145" s="297"/>
      <c r="AG145" s="297"/>
      <c r="AH145" s="146"/>
    </row>
    <row r="146" spans="2:34">
      <c r="B146" s="145"/>
      <c r="C146" s="296">
        <v>52</v>
      </c>
      <c r="D146" s="296">
        <f>IF(C146&lt;=B.2!$G$35,B.2!$H$35,IF(AND(C146&lt;=B.2!$G$34,C146&gt;B.2!$G$35),0+((B.2!$H$35-B.2!$H$34)/(B.2!$G$35-B.2!$G$34))*(C146-B.2!$G$34),0))</f>
        <v>0</v>
      </c>
      <c r="E146" s="419"/>
      <c r="F146" s="296"/>
      <c r="G146" s="296"/>
      <c r="H146" s="276"/>
      <c r="I146" s="296"/>
      <c r="J146" s="296"/>
      <c r="K146" s="419"/>
      <c r="L146" s="296">
        <v>52</v>
      </c>
      <c r="M146" s="296">
        <f>IF(L146&lt;=B.2!$G$41,B.2!$H$41,IF(AND(L146&lt;=B.2!$G$40,L146&gt;B.2!$G$41),0+((B.2!$H$41-B.2!$H$40)/(B.2!$G$41-B.2!$G$40))*(L146-B.2!$G$40),0))</f>
        <v>104.34782608695652</v>
      </c>
      <c r="N146" s="419"/>
      <c r="O146" s="296"/>
      <c r="P146" s="296"/>
      <c r="Q146" s="276"/>
      <c r="R146" s="295"/>
      <c r="S146" s="420"/>
      <c r="T146" s="297">
        <v>52</v>
      </c>
      <c r="U146" s="297">
        <f>IF(T146&lt;=B.2!$L$35,B.2!$M$35,IF(AND(T146&lt;=B.2!$L$34,T146&gt;B.2!$L$35),0+((B.2!$M$35-B.2!$M$34)/(B.2!$L$35-B.2!$L$34))*(T146-B.2!$L$34),0))</f>
        <v>6.25</v>
      </c>
      <c r="V146" s="421"/>
      <c r="W146" s="297"/>
      <c r="X146" s="297"/>
      <c r="Y146" s="420"/>
      <c r="Z146" s="297"/>
      <c r="AA146" s="297"/>
      <c r="AB146" s="421"/>
      <c r="AC146" s="297">
        <v>52</v>
      </c>
      <c r="AD146" s="297">
        <f>IF(AC146&lt;=B.2!$L$41,B.2!$M$41,IF(AND(AC146&lt;=B.2!$L$40,AC146&gt;B.2!$L$41),0+((B.2!$M$41-B.2!$M$40)/(B.2!$L$41-B.2!$L$40))*(AC146-B.2!$L$40),0))</f>
        <v>109.5145631067961</v>
      </c>
      <c r="AE146" s="421"/>
      <c r="AF146" s="297"/>
      <c r="AG146" s="297"/>
      <c r="AH146" s="146"/>
    </row>
    <row r="147" spans="2:34">
      <c r="B147" s="145"/>
      <c r="C147" s="296">
        <v>53</v>
      </c>
      <c r="D147" s="296">
        <f>IF(C147&lt;=B.2!$G$35,B.2!$H$35,IF(AND(C147&lt;=B.2!$G$34,C147&gt;B.2!$G$35),0+((B.2!$H$35-B.2!$H$34)/(B.2!$G$35-B.2!$G$34))*(C147-B.2!$G$34),0))</f>
        <v>0</v>
      </c>
      <c r="E147" s="419"/>
      <c r="F147" s="296"/>
      <c r="G147" s="296"/>
      <c r="H147" s="276"/>
      <c r="I147" s="296"/>
      <c r="J147" s="296"/>
      <c r="K147" s="419"/>
      <c r="L147" s="296">
        <v>53</v>
      </c>
      <c r="M147" s="296">
        <f>IF(L147&lt;=B.2!$G$41,B.2!$H$41,IF(AND(L147&lt;=B.2!$G$40,L147&gt;B.2!$G$41),0+((B.2!$H$41-B.2!$H$40)/(B.2!$G$41-B.2!$G$40))*(L147-B.2!$G$40),0))</f>
        <v>102.60869565217391</v>
      </c>
      <c r="N147" s="419"/>
      <c r="O147" s="296"/>
      <c r="P147" s="296"/>
      <c r="Q147" s="276"/>
      <c r="R147" s="295"/>
      <c r="S147" s="420"/>
      <c r="T147" s="297">
        <v>53</v>
      </c>
      <c r="U147" s="297">
        <f>IF(T147&lt;=B.2!$L$35,B.2!$M$35,IF(AND(T147&lt;=B.2!$L$34,T147&gt;B.2!$L$35),0+((B.2!$M$35-B.2!$M$34)/(B.2!$L$35-B.2!$L$34))*(T147-B.2!$L$34),0))</f>
        <v>5.625</v>
      </c>
      <c r="V147" s="421"/>
      <c r="W147" s="297"/>
      <c r="X147" s="297"/>
      <c r="Y147" s="420"/>
      <c r="Z147" s="297"/>
      <c r="AA147" s="297"/>
      <c r="AB147" s="421"/>
      <c r="AC147" s="297">
        <v>53</v>
      </c>
      <c r="AD147" s="297">
        <f>IF(AC147&lt;=B.2!$L$41,B.2!$M$41,IF(AND(AC147&lt;=B.2!$L$40,AC147&gt;B.2!$L$41),0+((B.2!$M$41-B.2!$M$40)/(B.2!$L$41-B.2!$L$40))*(AC147-B.2!$L$40),0))</f>
        <v>108.34951456310679</v>
      </c>
      <c r="AE147" s="421"/>
      <c r="AF147" s="297"/>
      <c r="AG147" s="297"/>
      <c r="AH147" s="146"/>
    </row>
    <row r="148" spans="2:34">
      <c r="B148" s="145"/>
      <c r="C148" s="296">
        <v>54</v>
      </c>
      <c r="D148" s="296">
        <f>IF(C148&lt;=B.2!$G$35,B.2!$H$35,IF(AND(C148&lt;=B.2!$G$34,C148&gt;B.2!$G$35),0+((B.2!$H$35-B.2!$H$34)/(B.2!$G$35-B.2!$G$34))*(C148-B.2!$G$34),0))</f>
        <v>0</v>
      </c>
      <c r="E148" s="419"/>
      <c r="F148" s="296"/>
      <c r="G148" s="296"/>
      <c r="H148" s="276"/>
      <c r="I148" s="296"/>
      <c r="J148" s="296"/>
      <c r="K148" s="419"/>
      <c r="L148" s="296">
        <v>54</v>
      </c>
      <c r="M148" s="296">
        <f>IF(L148&lt;=B.2!$G$41,B.2!$H$41,IF(AND(L148&lt;=B.2!$G$40,L148&gt;B.2!$G$41),0+((B.2!$H$41-B.2!$H$40)/(B.2!$G$41-B.2!$G$40))*(L148-B.2!$G$40),0))</f>
        <v>100.8695652173913</v>
      </c>
      <c r="N148" s="419"/>
      <c r="O148" s="296"/>
      <c r="P148" s="296"/>
      <c r="Q148" s="276"/>
      <c r="R148" s="295"/>
      <c r="S148" s="420"/>
      <c r="T148" s="297">
        <v>54</v>
      </c>
      <c r="U148" s="297">
        <f>IF(T148&lt;=B.2!$L$35,B.2!$M$35,IF(AND(T148&lt;=B.2!$L$34,T148&gt;B.2!$L$35),0+((B.2!$M$35-B.2!$M$34)/(B.2!$L$35-B.2!$L$34))*(T148-B.2!$L$34),0))</f>
        <v>5</v>
      </c>
      <c r="V148" s="421"/>
      <c r="W148" s="297"/>
      <c r="X148" s="297"/>
      <c r="Y148" s="420"/>
      <c r="Z148" s="297"/>
      <c r="AA148" s="297"/>
      <c r="AB148" s="421"/>
      <c r="AC148" s="297">
        <v>54</v>
      </c>
      <c r="AD148" s="297">
        <f>IF(AC148&lt;=B.2!$L$41,B.2!$M$41,IF(AND(AC148&lt;=B.2!$L$40,AC148&gt;B.2!$L$41),0+((B.2!$M$41-B.2!$M$40)/(B.2!$L$41-B.2!$L$40))*(AC148-B.2!$L$40),0))</f>
        <v>107.18446601941747</v>
      </c>
      <c r="AE148" s="421"/>
      <c r="AF148" s="297"/>
      <c r="AG148" s="297"/>
      <c r="AH148" s="146"/>
    </row>
    <row r="149" spans="2:34">
      <c r="B149" s="145"/>
      <c r="C149" s="296">
        <v>55</v>
      </c>
      <c r="D149" s="296">
        <f>IF(C149&lt;=B.2!$G$35,B.2!$H$35,IF(AND(C149&lt;=B.2!$G$34,C149&gt;B.2!$G$35),0+((B.2!$H$35-B.2!$H$34)/(B.2!$G$35-B.2!$G$34))*(C149-B.2!$G$34),0))</f>
        <v>0</v>
      </c>
      <c r="E149" s="419"/>
      <c r="F149" s="296"/>
      <c r="G149" s="296"/>
      <c r="H149" s="276"/>
      <c r="I149" s="296"/>
      <c r="J149" s="296"/>
      <c r="K149" s="419"/>
      <c r="L149" s="296">
        <v>55</v>
      </c>
      <c r="M149" s="296">
        <f>IF(L149&lt;=B.2!$G$41,B.2!$H$41,IF(AND(L149&lt;=B.2!$G$40,L149&gt;B.2!$G$41),0+((B.2!$H$41-B.2!$H$40)/(B.2!$G$41-B.2!$G$40))*(L149-B.2!$G$40),0))</f>
        <v>99.130434782608688</v>
      </c>
      <c r="N149" s="419"/>
      <c r="O149" s="296"/>
      <c r="P149" s="296"/>
      <c r="Q149" s="276"/>
      <c r="R149" s="295"/>
      <c r="S149" s="420"/>
      <c r="T149" s="297">
        <v>55</v>
      </c>
      <c r="U149" s="297">
        <f>IF(T149&lt;=B.2!$L$35,B.2!$M$35,IF(AND(T149&lt;=B.2!$L$34,T149&gt;B.2!$L$35),0+((B.2!$M$35-B.2!$M$34)/(B.2!$L$35-B.2!$L$34))*(T149-B.2!$L$34),0))</f>
        <v>4.375</v>
      </c>
      <c r="V149" s="421"/>
      <c r="W149" s="297"/>
      <c r="X149" s="297"/>
      <c r="Y149" s="420"/>
      <c r="Z149" s="297"/>
      <c r="AA149" s="297"/>
      <c r="AB149" s="421"/>
      <c r="AC149" s="297">
        <v>55</v>
      </c>
      <c r="AD149" s="297">
        <f>IF(AC149&lt;=B.2!$L$41,B.2!$M$41,IF(AND(AC149&lt;=B.2!$L$40,AC149&gt;B.2!$L$41),0+((B.2!$M$41-B.2!$M$40)/(B.2!$L$41-B.2!$L$40))*(AC149-B.2!$L$40),0))</f>
        <v>106.01941747572815</v>
      </c>
      <c r="AE149" s="421"/>
      <c r="AF149" s="297"/>
      <c r="AG149" s="297"/>
      <c r="AH149" s="146"/>
    </row>
    <row r="150" spans="2:34">
      <c r="B150" s="145"/>
      <c r="C150" s="296">
        <v>56</v>
      </c>
      <c r="D150" s="296">
        <f>IF(C150&lt;=B.2!$G$35,B.2!$H$35,IF(AND(C150&lt;=B.2!$G$34,C150&gt;B.2!$G$35),0+((B.2!$H$35-B.2!$H$34)/(B.2!$G$35-B.2!$G$34))*(C150-B.2!$G$34),0))</f>
        <v>0</v>
      </c>
      <c r="E150" s="419"/>
      <c r="F150" s="296"/>
      <c r="G150" s="296"/>
      <c r="H150" s="276"/>
      <c r="I150" s="296"/>
      <c r="J150" s="296"/>
      <c r="K150" s="419"/>
      <c r="L150" s="296">
        <v>56</v>
      </c>
      <c r="M150" s="296">
        <f>IF(L150&lt;=B.2!$G$41,B.2!$H$41,IF(AND(L150&lt;=B.2!$G$40,L150&gt;B.2!$G$41),0+((B.2!$H$41-B.2!$H$40)/(B.2!$G$41-B.2!$G$40))*(L150-B.2!$G$40),0))</f>
        <v>97.391304347826079</v>
      </c>
      <c r="N150" s="419"/>
      <c r="O150" s="296"/>
      <c r="P150" s="296"/>
      <c r="Q150" s="276"/>
      <c r="R150" s="295"/>
      <c r="S150" s="420"/>
      <c r="T150" s="297">
        <v>56</v>
      </c>
      <c r="U150" s="297">
        <f>IF(T150&lt;=B.2!$L$35,B.2!$M$35,IF(AND(T150&lt;=B.2!$L$34,T150&gt;B.2!$L$35),0+((B.2!$M$35-B.2!$M$34)/(B.2!$L$35-B.2!$L$34))*(T150-B.2!$L$34),0))</f>
        <v>3.75</v>
      </c>
      <c r="V150" s="421"/>
      <c r="W150" s="297"/>
      <c r="X150" s="297"/>
      <c r="Y150" s="420"/>
      <c r="Z150" s="297"/>
      <c r="AA150" s="297"/>
      <c r="AB150" s="421"/>
      <c r="AC150" s="297">
        <v>56</v>
      </c>
      <c r="AD150" s="297">
        <f>IF(AC150&lt;=B.2!$L$41,B.2!$M$41,IF(AND(AC150&lt;=B.2!$L$40,AC150&gt;B.2!$L$41),0+((B.2!$M$41-B.2!$M$40)/(B.2!$L$41-B.2!$L$40))*(AC150-B.2!$L$40),0))</f>
        <v>104.85436893203882</v>
      </c>
      <c r="AE150" s="421"/>
      <c r="AF150" s="297"/>
      <c r="AG150" s="297"/>
      <c r="AH150" s="146"/>
    </row>
    <row r="151" spans="2:34">
      <c r="B151" s="145"/>
      <c r="C151" s="296">
        <v>57</v>
      </c>
      <c r="D151" s="296">
        <f>IF(C151&lt;=B.2!$G$35,B.2!$H$35,IF(AND(C151&lt;=B.2!$G$34,C151&gt;B.2!$G$35),0+((B.2!$H$35-B.2!$H$34)/(B.2!$G$35-B.2!$G$34))*(C151-B.2!$G$34),0))</f>
        <v>0</v>
      </c>
      <c r="E151" s="419"/>
      <c r="F151" s="296"/>
      <c r="G151" s="296"/>
      <c r="H151" s="276"/>
      <c r="I151" s="296"/>
      <c r="J151" s="296"/>
      <c r="K151" s="419"/>
      <c r="L151" s="296">
        <v>57</v>
      </c>
      <c r="M151" s="296">
        <f>IF(L151&lt;=B.2!$G$41,B.2!$H$41,IF(AND(L151&lt;=B.2!$G$40,L151&gt;B.2!$G$41),0+((B.2!$H$41-B.2!$H$40)/(B.2!$G$41-B.2!$G$40))*(L151-B.2!$G$40),0))</f>
        <v>95.65217391304347</v>
      </c>
      <c r="N151" s="419"/>
      <c r="O151" s="296"/>
      <c r="P151" s="296"/>
      <c r="Q151" s="276"/>
      <c r="R151" s="295"/>
      <c r="S151" s="420"/>
      <c r="T151" s="297">
        <v>57</v>
      </c>
      <c r="U151" s="297">
        <f>IF(T151&lt;=B.2!$L$35,B.2!$M$35,IF(AND(T151&lt;=B.2!$L$34,T151&gt;B.2!$L$35),0+((B.2!$M$35-B.2!$M$34)/(B.2!$L$35-B.2!$L$34))*(T151-B.2!$L$34),0))</f>
        <v>3.125</v>
      </c>
      <c r="V151" s="421"/>
      <c r="W151" s="297"/>
      <c r="X151" s="297"/>
      <c r="Y151" s="420"/>
      <c r="Z151" s="297"/>
      <c r="AA151" s="297"/>
      <c r="AB151" s="421"/>
      <c r="AC151" s="297">
        <v>57</v>
      </c>
      <c r="AD151" s="297">
        <f>IF(AC151&lt;=B.2!$L$41,B.2!$M$41,IF(AND(AC151&lt;=B.2!$L$40,AC151&gt;B.2!$L$41),0+((B.2!$M$41-B.2!$M$40)/(B.2!$L$41-B.2!$L$40))*(AC151-B.2!$L$40),0))</f>
        <v>103.68932038834951</v>
      </c>
      <c r="AE151" s="421"/>
      <c r="AF151" s="297"/>
      <c r="AG151" s="297"/>
      <c r="AH151" s="146"/>
    </row>
    <row r="152" spans="2:34">
      <c r="B152" s="145"/>
      <c r="C152" s="296">
        <v>58</v>
      </c>
      <c r="D152" s="296">
        <f>IF(C152&lt;=B.2!$G$35,B.2!$H$35,IF(AND(C152&lt;=B.2!$G$34,C152&gt;B.2!$G$35),0+((B.2!$H$35-B.2!$H$34)/(B.2!$G$35-B.2!$G$34))*(C152-B.2!$G$34),0))</f>
        <v>0</v>
      </c>
      <c r="E152" s="419"/>
      <c r="F152" s="296"/>
      <c r="G152" s="296"/>
      <c r="H152" s="276"/>
      <c r="I152" s="296"/>
      <c r="J152" s="296"/>
      <c r="K152" s="419"/>
      <c r="L152" s="296">
        <v>58</v>
      </c>
      <c r="M152" s="296">
        <f>IF(L152&lt;=B.2!$G$41,B.2!$H$41,IF(AND(L152&lt;=B.2!$G$40,L152&gt;B.2!$G$41),0+((B.2!$H$41-B.2!$H$40)/(B.2!$G$41-B.2!$G$40))*(L152-B.2!$G$40),0))</f>
        <v>93.91304347826086</v>
      </c>
      <c r="N152" s="419"/>
      <c r="O152" s="296"/>
      <c r="P152" s="296"/>
      <c r="Q152" s="276"/>
      <c r="R152" s="295"/>
      <c r="S152" s="420"/>
      <c r="T152" s="297">
        <v>58</v>
      </c>
      <c r="U152" s="297">
        <f>IF(T152&lt;=B.2!$L$35,B.2!$M$35,IF(AND(T152&lt;=B.2!$L$34,T152&gt;B.2!$L$35),0+((B.2!$M$35-B.2!$M$34)/(B.2!$L$35-B.2!$L$34))*(T152-B.2!$L$34),0))</f>
        <v>2.5</v>
      </c>
      <c r="V152" s="421"/>
      <c r="W152" s="297"/>
      <c r="X152" s="297"/>
      <c r="Y152" s="420"/>
      <c r="Z152" s="297"/>
      <c r="AA152" s="297"/>
      <c r="AB152" s="421"/>
      <c r="AC152" s="297">
        <v>58</v>
      </c>
      <c r="AD152" s="297">
        <f>IF(AC152&lt;=B.2!$L$41,B.2!$M$41,IF(AND(AC152&lt;=B.2!$L$40,AC152&gt;B.2!$L$41),0+((B.2!$M$41-B.2!$M$40)/(B.2!$L$41-B.2!$L$40))*(AC152-B.2!$L$40),0))</f>
        <v>102.52427184466019</v>
      </c>
      <c r="AE152" s="421"/>
      <c r="AF152" s="297"/>
      <c r="AG152" s="297"/>
      <c r="AH152" s="146"/>
    </row>
    <row r="153" spans="2:34">
      <c r="B153" s="145"/>
      <c r="C153" s="296">
        <v>59</v>
      </c>
      <c r="D153" s="296">
        <f>IF(C153&lt;=B.2!$G$35,B.2!$H$35,IF(AND(C153&lt;=B.2!$G$34,C153&gt;B.2!$G$35),0+((B.2!$H$35-B.2!$H$34)/(B.2!$G$35-B.2!$G$34))*(C153-B.2!$G$34),0))</f>
        <v>0</v>
      </c>
      <c r="E153" s="419"/>
      <c r="F153" s="296"/>
      <c r="G153" s="296"/>
      <c r="H153" s="276"/>
      <c r="I153" s="296"/>
      <c r="J153" s="296"/>
      <c r="K153" s="419"/>
      <c r="L153" s="296">
        <v>59</v>
      </c>
      <c r="M153" s="296">
        <f>IF(L153&lt;=B.2!$G$41,B.2!$H$41,IF(AND(L153&lt;=B.2!$G$40,L153&gt;B.2!$G$41),0+((B.2!$H$41-B.2!$H$40)/(B.2!$G$41-B.2!$G$40))*(L153-B.2!$G$40),0))</f>
        <v>92.173913043478265</v>
      </c>
      <c r="N153" s="419"/>
      <c r="O153" s="296"/>
      <c r="P153" s="296"/>
      <c r="Q153" s="276"/>
      <c r="R153" s="295"/>
      <c r="S153" s="420"/>
      <c r="T153" s="297">
        <v>59</v>
      </c>
      <c r="U153" s="297">
        <f>IF(T153&lt;=B.2!$L$35,B.2!$M$35,IF(AND(T153&lt;=B.2!$L$34,T153&gt;B.2!$L$35),0+((B.2!$M$35-B.2!$M$34)/(B.2!$L$35-B.2!$L$34))*(T153-B.2!$L$34),0))</f>
        <v>1.875</v>
      </c>
      <c r="V153" s="421"/>
      <c r="W153" s="297"/>
      <c r="X153" s="297"/>
      <c r="Y153" s="420"/>
      <c r="Z153" s="297"/>
      <c r="AA153" s="297"/>
      <c r="AB153" s="421"/>
      <c r="AC153" s="297">
        <v>59</v>
      </c>
      <c r="AD153" s="297">
        <f>IF(AC153&lt;=B.2!$L$41,B.2!$M$41,IF(AND(AC153&lt;=B.2!$L$40,AC153&gt;B.2!$L$41),0+((B.2!$M$41-B.2!$M$40)/(B.2!$L$41-B.2!$L$40))*(AC153-B.2!$L$40),0))</f>
        <v>101.35922330097087</v>
      </c>
      <c r="AE153" s="421"/>
      <c r="AF153" s="297"/>
      <c r="AG153" s="297"/>
      <c r="AH153" s="146"/>
    </row>
    <row r="154" spans="2:34">
      <c r="B154" s="145"/>
      <c r="C154" s="296">
        <v>60</v>
      </c>
      <c r="D154" s="296">
        <f>IF(C154&lt;=B.2!$G$35,B.2!$H$35,IF(AND(C154&lt;=B.2!$G$34,C154&gt;B.2!$G$35),0+((B.2!$H$35-B.2!$H$34)/(B.2!$G$35-B.2!$G$34))*(C154-B.2!$G$34),0))</f>
        <v>0</v>
      </c>
      <c r="E154" s="419"/>
      <c r="F154" s="296"/>
      <c r="G154" s="296"/>
      <c r="H154" s="276"/>
      <c r="I154" s="296"/>
      <c r="J154" s="296"/>
      <c r="K154" s="419"/>
      <c r="L154" s="296">
        <v>60</v>
      </c>
      <c r="M154" s="296">
        <f>IF(L154&lt;=B.2!$G$41,B.2!$H$41,IF(AND(L154&lt;=B.2!$G$40,L154&gt;B.2!$G$41),0+((B.2!$H$41-B.2!$H$40)/(B.2!$G$41-B.2!$G$40))*(L154-B.2!$G$40),0))</f>
        <v>90.434782608695656</v>
      </c>
      <c r="N154" s="419"/>
      <c r="O154" s="296"/>
      <c r="P154" s="296"/>
      <c r="Q154" s="276"/>
      <c r="R154" s="295"/>
      <c r="S154" s="420"/>
      <c r="T154" s="297">
        <v>60</v>
      </c>
      <c r="U154" s="297">
        <f>IF(T154&lt;=B.2!$L$35,B.2!$M$35,IF(AND(T154&lt;=B.2!$L$34,T154&gt;B.2!$L$35),0+((B.2!$M$35-B.2!$M$34)/(B.2!$L$35-B.2!$L$34))*(T154-B.2!$L$34),0))</f>
        <v>1.25</v>
      </c>
      <c r="V154" s="421"/>
      <c r="W154" s="297"/>
      <c r="X154" s="297"/>
      <c r="Y154" s="420"/>
      <c r="Z154" s="297"/>
      <c r="AA154" s="297"/>
      <c r="AB154" s="421"/>
      <c r="AC154" s="297">
        <v>60</v>
      </c>
      <c r="AD154" s="297">
        <f>IF(AC154&lt;=B.2!$L$41,B.2!$M$41,IF(AND(AC154&lt;=B.2!$L$40,AC154&gt;B.2!$L$41),0+((B.2!$M$41-B.2!$M$40)/(B.2!$L$41-B.2!$L$40))*(AC154-B.2!$L$40),0))</f>
        <v>100.19417475728154</v>
      </c>
      <c r="AE154" s="421"/>
      <c r="AF154" s="297"/>
      <c r="AG154" s="297"/>
      <c r="AH154" s="146"/>
    </row>
    <row r="155" spans="2:34">
      <c r="B155" s="145"/>
      <c r="C155" s="296">
        <v>61</v>
      </c>
      <c r="D155" s="296">
        <f>IF(C155&lt;=B.2!$G$35,B.2!$H$35,IF(AND(C155&lt;=B.2!$G$34,C155&gt;B.2!$G$35),0+((B.2!$H$35-B.2!$H$34)/(B.2!$G$35-B.2!$G$34))*(C155-B.2!$G$34),0))</f>
        <v>0</v>
      </c>
      <c r="E155" s="419"/>
      <c r="F155" s="296"/>
      <c r="G155" s="296"/>
      <c r="H155" s="276"/>
      <c r="I155" s="296"/>
      <c r="J155" s="296"/>
      <c r="K155" s="419"/>
      <c r="L155" s="296">
        <v>61</v>
      </c>
      <c r="M155" s="296">
        <f>IF(L155&lt;=B.2!$G$41,B.2!$H$41,IF(AND(L155&lt;=B.2!$G$40,L155&gt;B.2!$G$41),0+((B.2!$H$41-B.2!$H$40)/(B.2!$G$41-B.2!$G$40))*(L155-B.2!$G$40),0))</f>
        <v>88.695652173913047</v>
      </c>
      <c r="N155" s="419"/>
      <c r="O155" s="296"/>
      <c r="P155" s="296"/>
      <c r="Q155" s="276"/>
      <c r="R155" s="295"/>
      <c r="S155" s="420"/>
      <c r="T155" s="297">
        <v>61</v>
      </c>
      <c r="U155" s="297">
        <f>IF(T155&lt;=B.2!$L$35,B.2!$M$35,IF(AND(T155&lt;=B.2!$L$34,T155&gt;B.2!$L$35),0+((B.2!$M$35-B.2!$M$34)/(B.2!$L$35-B.2!$L$34))*(T155-B.2!$L$34),0))</f>
        <v>0.625</v>
      </c>
      <c r="V155" s="421"/>
      <c r="W155" s="297"/>
      <c r="X155" s="297"/>
      <c r="Y155" s="420"/>
      <c r="Z155" s="297"/>
      <c r="AA155" s="297"/>
      <c r="AB155" s="421"/>
      <c r="AC155" s="297">
        <v>61</v>
      </c>
      <c r="AD155" s="297">
        <f>IF(AC155&lt;=B.2!$L$41,B.2!$M$41,IF(AND(AC155&lt;=B.2!$L$40,AC155&gt;B.2!$L$41),0+((B.2!$M$41-B.2!$M$40)/(B.2!$L$41-B.2!$L$40))*(AC155-B.2!$L$40),0))</f>
        <v>99.029126213592221</v>
      </c>
      <c r="AE155" s="421"/>
      <c r="AF155" s="297"/>
      <c r="AG155" s="297"/>
      <c r="AH155" s="146"/>
    </row>
    <row r="156" spans="2:34">
      <c r="B156" s="145"/>
      <c r="C156" s="296">
        <v>62</v>
      </c>
      <c r="D156" s="296">
        <f>IF(C156&lt;=B.2!$G$35,B.2!$H$35,IF(AND(C156&lt;=B.2!$G$34,C156&gt;B.2!$G$35),0+((B.2!$H$35-B.2!$H$34)/(B.2!$G$35-B.2!$G$34))*(C156-B.2!$G$34),0))</f>
        <v>0</v>
      </c>
      <c r="E156" s="276"/>
      <c r="F156" s="296"/>
      <c r="G156" s="296"/>
      <c r="H156" s="276"/>
      <c r="I156" s="296"/>
      <c r="J156" s="296"/>
      <c r="K156" s="276"/>
      <c r="L156" s="296">
        <v>62</v>
      </c>
      <c r="M156" s="296">
        <f>IF(L156&lt;=B.2!$G$41,B.2!$H$41,IF(AND(L156&lt;=B.2!$G$40,L156&gt;B.2!$G$41),0+((B.2!$H$41-B.2!$H$40)/(B.2!$G$41-B.2!$G$40))*(L156-B.2!$G$40),0))</f>
        <v>86.956521739130437</v>
      </c>
      <c r="N156" s="276"/>
      <c r="O156" s="296"/>
      <c r="P156" s="296"/>
      <c r="Q156" s="276"/>
      <c r="R156" s="295"/>
      <c r="S156" s="420"/>
      <c r="T156" s="297">
        <v>62</v>
      </c>
      <c r="U156" s="297">
        <f>IF(T156&lt;=B.2!$L$35,B.2!$M$35,IF(AND(T156&lt;=B.2!$L$34,T156&gt;B.2!$L$35),0+((B.2!$M$35-B.2!$M$34)/(B.2!$L$35-B.2!$L$34))*(T156-B.2!$L$34),0))</f>
        <v>0</v>
      </c>
      <c r="V156" s="420"/>
      <c r="W156" s="297"/>
      <c r="X156" s="297"/>
      <c r="Y156" s="420"/>
      <c r="Z156" s="297"/>
      <c r="AA156" s="297"/>
      <c r="AB156" s="422"/>
      <c r="AC156" s="297">
        <v>62</v>
      </c>
      <c r="AD156" s="297">
        <f>IF(AC156&lt;=B.2!$L$41,B.2!$M$41,IF(AND(AC156&lt;=B.2!$L$40,AC156&gt;B.2!$L$41),0+((B.2!$M$41-B.2!$M$40)/(B.2!$L$41-B.2!$L$40))*(AC156-B.2!$L$40),0))</f>
        <v>97.864077669902912</v>
      </c>
      <c r="AE156" s="422"/>
      <c r="AF156" s="297"/>
      <c r="AG156" s="297"/>
      <c r="AH156" s="146"/>
    </row>
    <row r="157" spans="2:34">
      <c r="B157" s="145"/>
      <c r="C157" s="296">
        <v>63</v>
      </c>
      <c r="D157" s="296">
        <f>IF(C157&lt;=B.2!$G$35,B.2!$H$35,IF(AND(C157&lt;=B.2!$G$34,C157&gt;B.2!$G$35),0+((B.2!$H$35-B.2!$H$34)/(B.2!$G$35-B.2!$G$34))*(C157-B.2!$G$34),0))</f>
        <v>0</v>
      </c>
      <c r="E157" s="276"/>
      <c r="F157" s="296"/>
      <c r="G157" s="296"/>
      <c r="H157" s="276"/>
      <c r="I157" s="296"/>
      <c r="J157" s="296"/>
      <c r="K157" s="276"/>
      <c r="L157" s="296">
        <v>63</v>
      </c>
      <c r="M157" s="296">
        <f>IF(L157&lt;=B.2!$G$41,B.2!$H$41,IF(AND(L157&lt;=B.2!$G$40,L157&gt;B.2!$G$41),0+((B.2!$H$41-B.2!$H$40)/(B.2!$G$41-B.2!$G$40))*(L157-B.2!$G$40),0))</f>
        <v>85.217391304347828</v>
      </c>
      <c r="N157" s="276"/>
      <c r="O157" s="296"/>
      <c r="P157" s="296"/>
      <c r="Q157" s="276"/>
      <c r="R157" s="295"/>
      <c r="S157" s="420"/>
      <c r="T157" s="297">
        <v>63</v>
      </c>
      <c r="U157" s="297">
        <f>IF(T157&lt;=B.2!$L$35,B.2!$M$35,IF(AND(T157&lt;=B.2!$L$34,T157&gt;B.2!$L$35),0+((B.2!$M$35-B.2!$M$34)/(B.2!$L$35-B.2!$L$34))*(T157-B.2!$L$34),0))</f>
        <v>0</v>
      </c>
      <c r="V157" s="420"/>
      <c r="W157" s="297"/>
      <c r="X157" s="297"/>
      <c r="Y157" s="420"/>
      <c r="Z157" s="297"/>
      <c r="AA157" s="297"/>
      <c r="AB157" s="422"/>
      <c r="AC157" s="297">
        <v>63</v>
      </c>
      <c r="AD157" s="297">
        <f>IF(AC157&lt;=B.2!$L$41,B.2!$M$41,IF(AND(AC157&lt;=B.2!$L$40,AC157&gt;B.2!$L$41),0+((B.2!$M$41-B.2!$M$40)/(B.2!$L$41-B.2!$L$40))*(AC157-B.2!$L$40),0))</f>
        <v>96.699029126213588</v>
      </c>
      <c r="AE157" s="422"/>
      <c r="AF157" s="297"/>
      <c r="AG157" s="297"/>
      <c r="AH157" s="146"/>
    </row>
    <row r="158" spans="2:34">
      <c r="B158" s="145"/>
      <c r="C158" s="296">
        <v>64</v>
      </c>
      <c r="D158" s="296">
        <f>IF(C158&lt;=B.2!$G$35,B.2!$H$35,IF(AND(C158&lt;=B.2!$G$34,C158&gt;B.2!$G$35),0+((B.2!$H$35-B.2!$H$34)/(B.2!$G$35-B.2!$G$34))*(C158-B.2!$G$34),0))</f>
        <v>0</v>
      </c>
      <c r="E158" s="276"/>
      <c r="F158" s="296"/>
      <c r="G158" s="296"/>
      <c r="H158" s="276"/>
      <c r="I158" s="296"/>
      <c r="J158" s="296"/>
      <c r="K158" s="276"/>
      <c r="L158" s="296">
        <v>64</v>
      </c>
      <c r="M158" s="296">
        <f>IF(L158&lt;=B.2!$G$41,B.2!$H$41,IF(AND(L158&lt;=B.2!$G$40,L158&gt;B.2!$G$41),0+((B.2!$H$41-B.2!$H$40)/(B.2!$G$41-B.2!$G$40))*(L158-B.2!$G$40),0))</f>
        <v>83.478260869565219</v>
      </c>
      <c r="N158" s="276"/>
      <c r="O158" s="296"/>
      <c r="P158" s="296"/>
      <c r="Q158" s="276"/>
      <c r="R158" s="295"/>
      <c r="S158" s="420"/>
      <c r="T158" s="297">
        <v>64</v>
      </c>
      <c r="U158" s="297">
        <f>IF(T158&lt;=B.2!$L$35,B.2!$M$35,IF(AND(T158&lt;=B.2!$L$34,T158&gt;B.2!$L$35),0+((B.2!$M$35-B.2!$M$34)/(B.2!$L$35-B.2!$L$34))*(T158-B.2!$L$34),0))</f>
        <v>0</v>
      </c>
      <c r="V158" s="420"/>
      <c r="W158" s="297"/>
      <c r="X158" s="297"/>
      <c r="Y158" s="420"/>
      <c r="Z158" s="297"/>
      <c r="AA158" s="297"/>
      <c r="AB158" s="422"/>
      <c r="AC158" s="297">
        <v>64</v>
      </c>
      <c r="AD158" s="297">
        <f>IF(AC158&lt;=B.2!$L$41,B.2!$M$41,IF(AND(AC158&lt;=B.2!$L$40,AC158&gt;B.2!$L$41),0+((B.2!$M$41-B.2!$M$40)/(B.2!$L$41-B.2!$L$40))*(AC158-B.2!$L$40),0))</f>
        <v>95.533980582524265</v>
      </c>
      <c r="AE158" s="422"/>
      <c r="AF158" s="297"/>
      <c r="AG158" s="297"/>
      <c r="AH158" s="146"/>
    </row>
    <row r="159" spans="2:34">
      <c r="B159" s="145"/>
      <c r="C159" s="296">
        <v>65</v>
      </c>
      <c r="D159" s="296">
        <f>IF(C159&lt;=B.2!$G$35,B.2!$H$35,IF(AND(C159&lt;=B.2!$G$34,C159&gt;B.2!$G$35),0+((B.2!$H$35-B.2!$H$34)/(B.2!$G$35-B.2!$G$34))*(C159-B.2!$G$34),0))</f>
        <v>0</v>
      </c>
      <c r="E159" s="276"/>
      <c r="F159" s="296"/>
      <c r="G159" s="296"/>
      <c r="H159" s="276"/>
      <c r="I159" s="296"/>
      <c r="J159" s="296"/>
      <c r="K159" s="276"/>
      <c r="L159" s="296">
        <v>65</v>
      </c>
      <c r="M159" s="296">
        <f>IF(L159&lt;=B.2!$G$41,B.2!$H$41,IF(AND(L159&lt;=B.2!$G$40,L159&gt;B.2!$G$41),0+((B.2!$H$41-B.2!$H$40)/(B.2!$G$41-B.2!$G$40))*(L159-B.2!$G$40),0))</f>
        <v>81.739130434782609</v>
      </c>
      <c r="N159" s="276"/>
      <c r="O159" s="296"/>
      <c r="P159" s="296"/>
      <c r="Q159" s="276"/>
      <c r="R159" s="295"/>
      <c r="S159" s="420"/>
      <c r="T159" s="297">
        <v>65</v>
      </c>
      <c r="U159" s="297">
        <f>IF(T159&lt;=B.2!$L$35,B.2!$M$35,IF(AND(T159&lt;=B.2!$L$34,T159&gt;B.2!$L$35),0+((B.2!$M$35-B.2!$M$34)/(B.2!$L$35-B.2!$L$34))*(T159-B.2!$L$34),0))</f>
        <v>0</v>
      </c>
      <c r="V159" s="420"/>
      <c r="W159" s="297"/>
      <c r="X159" s="297"/>
      <c r="Y159" s="420"/>
      <c r="Z159" s="297"/>
      <c r="AA159" s="297"/>
      <c r="AB159" s="422"/>
      <c r="AC159" s="297">
        <v>65</v>
      </c>
      <c r="AD159" s="297">
        <f>IF(AC159&lt;=B.2!$L$41,B.2!$M$41,IF(AND(AC159&lt;=B.2!$L$40,AC159&gt;B.2!$L$41),0+((B.2!$M$41-B.2!$M$40)/(B.2!$L$41-B.2!$L$40))*(AC159-B.2!$L$40),0))</f>
        <v>94.368932038834942</v>
      </c>
      <c r="AE159" s="422"/>
      <c r="AF159" s="297"/>
      <c r="AG159" s="297"/>
      <c r="AH159" s="146"/>
    </row>
    <row r="160" spans="2:34">
      <c r="B160" s="145"/>
      <c r="C160" s="296">
        <v>66</v>
      </c>
      <c r="D160" s="296">
        <f>IF(C160&lt;=B.2!$G$35,B.2!$H$35,IF(AND(C160&lt;=B.2!$G$34,C160&gt;B.2!$G$35),0+((B.2!$H$35-B.2!$H$34)/(B.2!$G$35-B.2!$G$34))*(C160-B.2!$G$34),0))</f>
        <v>0</v>
      </c>
      <c r="E160" s="276"/>
      <c r="F160" s="296"/>
      <c r="G160" s="296"/>
      <c r="H160" s="276"/>
      <c r="I160" s="296"/>
      <c r="J160" s="296"/>
      <c r="K160" s="276"/>
      <c r="L160" s="296">
        <v>66</v>
      </c>
      <c r="M160" s="296">
        <f>IF(L160&lt;=B.2!$G$41,B.2!$H$41,IF(AND(L160&lt;=B.2!$G$40,L160&gt;B.2!$G$41),0+((B.2!$H$41-B.2!$H$40)/(B.2!$G$41-B.2!$G$40))*(L160-B.2!$G$40),0))</f>
        <v>80</v>
      </c>
      <c r="N160" s="276"/>
      <c r="O160" s="296"/>
      <c r="P160" s="296"/>
      <c r="Q160" s="276"/>
      <c r="R160" s="295"/>
      <c r="S160" s="420"/>
      <c r="T160" s="297">
        <v>66</v>
      </c>
      <c r="U160" s="297">
        <f>IF(T160&lt;=B.2!$L$35,B.2!$M$35,IF(AND(T160&lt;=B.2!$L$34,T160&gt;B.2!$L$35),0+((B.2!$M$35-B.2!$M$34)/(B.2!$L$35-B.2!$L$34))*(T160-B.2!$L$34),0))</f>
        <v>0</v>
      </c>
      <c r="V160" s="420"/>
      <c r="W160" s="297"/>
      <c r="X160" s="297"/>
      <c r="Y160" s="420"/>
      <c r="Z160" s="297"/>
      <c r="AA160" s="297"/>
      <c r="AB160" s="422"/>
      <c r="AC160" s="297">
        <v>66</v>
      </c>
      <c r="AD160" s="297">
        <f>IF(AC160&lt;=B.2!$L$41,B.2!$M$41,IF(AND(AC160&lt;=B.2!$L$40,AC160&gt;B.2!$L$41),0+((B.2!$M$41-B.2!$M$40)/(B.2!$L$41-B.2!$L$40))*(AC160-B.2!$L$40),0))</f>
        <v>93.203883495145618</v>
      </c>
      <c r="AE160" s="422"/>
      <c r="AF160" s="297"/>
      <c r="AG160" s="297"/>
      <c r="AH160" s="146"/>
    </row>
    <row r="161" spans="2:34">
      <c r="B161" s="145"/>
      <c r="C161" s="296">
        <v>67</v>
      </c>
      <c r="D161" s="296">
        <f>IF(C161&lt;=B.2!$G$35,B.2!$H$35,IF(AND(C161&lt;=B.2!$G$34,C161&gt;B.2!$G$35),0+((B.2!$H$35-B.2!$H$34)/(B.2!$G$35-B.2!$G$34))*(C161-B.2!$G$34),0))</f>
        <v>0</v>
      </c>
      <c r="E161" s="276"/>
      <c r="F161" s="296"/>
      <c r="G161" s="296"/>
      <c r="H161" s="276"/>
      <c r="I161" s="296"/>
      <c r="J161" s="296"/>
      <c r="K161" s="276"/>
      <c r="L161" s="296">
        <v>67</v>
      </c>
      <c r="M161" s="296">
        <f>IF(L161&lt;=B.2!$G$41,B.2!$H$41,IF(AND(L161&lt;=B.2!$G$40,L161&gt;B.2!$G$41),0+((B.2!$H$41-B.2!$H$40)/(B.2!$G$41-B.2!$G$40))*(L161-B.2!$G$40),0))</f>
        <v>78.260869565217391</v>
      </c>
      <c r="N161" s="276"/>
      <c r="O161" s="296"/>
      <c r="P161" s="296"/>
      <c r="Q161" s="276"/>
      <c r="R161" s="295"/>
      <c r="S161" s="420"/>
      <c r="T161" s="297">
        <v>67</v>
      </c>
      <c r="U161" s="297">
        <f>IF(T161&lt;=B.2!$L$35,B.2!$M$35,IF(AND(T161&lt;=B.2!$L$34,T161&gt;B.2!$L$35),0+((B.2!$M$35-B.2!$M$34)/(B.2!$L$35-B.2!$L$34))*(T161-B.2!$L$34),0))</f>
        <v>0</v>
      </c>
      <c r="V161" s="420"/>
      <c r="W161" s="297"/>
      <c r="X161" s="297"/>
      <c r="Y161" s="420"/>
      <c r="Z161" s="297"/>
      <c r="AA161" s="297"/>
      <c r="AB161" s="422"/>
      <c r="AC161" s="297">
        <v>67</v>
      </c>
      <c r="AD161" s="297">
        <f>IF(AC161&lt;=B.2!$L$41,B.2!$M$41,IF(AND(AC161&lt;=B.2!$L$40,AC161&gt;B.2!$L$41),0+((B.2!$M$41-B.2!$M$40)/(B.2!$L$41-B.2!$L$40))*(AC161-B.2!$L$40),0))</f>
        <v>92.038834951456309</v>
      </c>
      <c r="AE161" s="422"/>
      <c r="AF161" s="297"/>
      <c r="AG161" s="297"/>
      <c r="AH161" s="146"/>
    </row>
    <row r="162" spans="2:34">
      <c r="B162" s="145"/>
      <c r="C162" s="296">
        <v>68</v>
      </c>
      <c r="D162" s="296">
        <f>IF(C162&lt;=B.2!$G$35,B.2!$H$35,IF(AND(C162&lt;=B.2!$G$34,C162&gt;B.2!$G$35),0+((B.2!$H$35-B.2!$H$34)/(B.2!$G$35-B.2!$G$34))*(C162-B.2!$G$34),0))</f>
        <v>0</v>
      </c>
      <c r="E162" s="276"/>
      <c r="F162" s="296"/>
      <c r="G162" s="296"/>
      <c r="H162" s="276"/>
      <c r="I162" s="296"/>
      <c r="J162" s="296"/>
      <c r="K162" s="276"/>
      <c r="L162" s="296">
        <v>68</v>
      </c>
      <c r="M162" s="296">
        <f>IF(L162&lt;=B.2!$G$41,B.2!$H$41,IF(AND(L162&lt;=B.2!$G$40,L162&gt;B.2!$G$41),0+((B.2!$H$41-B.2!$H$40)/(B.2!$G$41-B.2!$G$40))*(L162-B.2!$G$40),0))</f>
        <v>76.521739130434781</v>
      </c>
      <c r="N162" s="276"/>
      <c r="O162" s="296"/>
      <c r="P162" s="296"/>
      <c r="Q162" s="276"/>
      <c r="R162" s="295"/>
      <c r="S162" s="420"/>
      <c r="T162" s="297">
        <v>68</v>
      </c>
      <c r="U162" s="297">
        <f>IF(T162&lt;=B.2!$L$35,B.2!$M$35,IF(AND(T162&lt;=B.2!$L$34,T162&gt;B.2!$L$35),0+((B.2!$M$35-B.2!$M$34)/(B.2!$L$35-B.2!$L$34))*(T162-B.2!$L$34),0))</f>
        <v>0</v>
      </c>
      <c r="V162" s="420"/>
      <c r="W162" s="297"/>
      <c r="X162" s="297"/>
      <c r="Y162" s="420"/>
      <c r="Z162" s="297"/>
      <c r="AA162" s="297"/>
      <c r="AB162" s="422"/>
      <c r="AC162" s="297">
        <v>68</v>
      </c>
      <c r="AD162" s="297">
        <f>IF(AC162&lt;=B.2!$L$41,B.2!$M$41,IF(AND(AC162&lt;=B.2!$L$40,AC162&gt;B.2!$L$41),0+((B.2!$M$41-B.2!$M$40)/(B.2!$L$41-B.2!$L$40))*(AC162-B.2!$L$40),0))</f>
        <v>90.873786407766985</v>
      </c>
      <c r="AE162" s="422"/>
      <c r="AF162" s="297"/>
      <c r="AG162" s="297"/>
      <c r="AH162" s="146"/>
    </row>
    <row r="163" spans="2:34">
      <c r="B163" s="145"/>
      <c r="C163" s="296">
        <v>69</v>
      </c>
      <c r="D163" s="296">
        <f>IF(C163&lt;=B.2!$G$35,B.2!$H$35,IF(AND(C163&lt;=B.2!$G$34,C163&gt;B.2!$G$35),0+((B.2!$H$35-B.2!$H$34)/(B.2!$G$35-B.2!$G$34))*(C163-B.2!$G$34),0))</f>
        <v>0</v>
      </c>
      <c r="E163" s="276"/>
      <c r="F163" s="296"/>
      <c r="G163" s="296"/>
      <c r="H163" s="276"/>
      <c r="I163" s="296"/>
      <c r="J163" s="296"/>
      <c r="K163" s="276"/>
      <c r="L163" s="296">
        <v>69</v>
      </c>
      <c r="M163" s="296">
        <f>IF(L163&lt;=B.2!$G$41,B.2!$H$41,IF(AND(L163&lt;=B.2!$G$40,L163&gt;B.2!$G$41),0+((B.2!$H$41-B.2!$H$40)/(B.2!$G$41-B.2!$G$40))*(L163-B.2!$G$40),0))</f>
        <v>74.782608695652172</v>
      </c>
      <c r="N163" s="276"/>
      <c r="O163" s="296"/>
      <c r="P163" s="296"/>
      <c r="Q163" s="276"/>
      <c r="R163" s="295"/>
      <c r="S163" s="420"/>
      <c r="T163" s="297">
        <v>69</v>
      </c>
      <c r="U163" s="297">
        <f>IF(T163&lt;=B.2!$L$35,B.2!$M$35,IF(AND(T163&lt;=B.2!$L$34,T163&gt;B.2!$L$35),0+((B.2!$M$35-B.2!$M$34)/(B.2!$L$35-B.2!$L$34))*(T163-B.2!$L$34),0))</f>
        <v>0</v>
      </c>
      <c r="V163" s="420"/>
      <c r="W163" s="297"/>
      <c r="X163" s="297"/>
      <c r="Y163" s="420"/>
      <c r="Z163" s="297"/>
      <c r="AA163" s="297"/>
      <c r="AB163" s="422"/>
      <c r="AC163" s="297">
        <v>69</v>
      </c>
      <c r="AD163" s="297">
        <f>IF(AC163&lt;=B.2!$L$41,B.2!$M$41,IF(AND(AC163&lt;=B.2!$L$40,AC163&gt;B.2!$L$41),0+((B.2!$M$41-B.2!$M$40)/(B.2!$L$41-B.2!$L$40))*(AC163-B.2!$L$40),0))</f>
        <v>89.708737864077662</v>
      </c>
      <c r="AE163" s="422"/>
      <c r="AF163" s="297"/>
      <c r="AG163" s="297"/>
      <c r="AH163" s="146"/>
    </row>
    <row r="164" spans="2:34">
      <c r="B164" s="145"/>
      <c r="C164" s="296">
        <v>70</v>
      </c>
      <c r="D164" s="296">
        <f>IF(C164&lt;=B.2!$G$35,B.2!$H$35,IF(AND(C164&lt;=B.2!$G$34,C164&gt;B.2!$G$35),0+((B.2!$H$35-B.2!$H$34)/(B.2!$G$35-B.2!$G$34))*(C164-B.2!$G$34),0))</f>
        <v>0</v>
      </c>
      <c r="E164" s="276"/>
      <c r="F164" s="296"/>
      <c r="G164" s="296"/>
      <c r="H164" s="276"/>
      <c r="I164" s="296"/>
      <c r="J164" s="296"/>
      <c r="K164" s="276"/>
      <c r="L164" s="296">
        <v>70</v>
      </c>
      <c r="M164" s="296">
        <f>IF(L164&lt;=B.2!$G$41,B.2!$H$41,IF(AND(L164&lt;=B.2!$G$40,L164&gt;B.2!$G$41),0+((B.2!$H$41-B.2!$H$40)/(B.2!$G$41-B.2!$G$40))*(L164-B.2!$G$40),0))</f>
        <v>73.043478260869563</v>
      </c>
      <c r="N164" s="276"/>
      <c r="O164" s="296"/>
      <c r="P164" s="296"/>
      <c r="Q164" s="276"/>
      <c r="R164" s="295"/>
      <c r="S164" s="420"/>
      <c r="T164" s="297">
        <v>70</v>
      </c>
      <c r="U164" s="297">
        <f>IF(T164&lt;=B.2!$L$35,B.2!$M$35,IF(AND(T164&lt;=B.2!$L$34,T164&gt;B.2!$L$35),0+((B.2!$M$35-B.2!$M$34)/(B.2!$L$35-B.2!$L$34))*(T164-B.2!$L$34),0))</f>
        <v>0</v>
      </c>
      <c r="V164" s="420"/>
      <c r="W164" s="297"/>
      <c r="X164" s="297"/>
      <c r="Y164" s="420"/>
      <c r="Z164" s="297"/>
      <c r="AA164" s="297"/>
      <c r="AB164" s="422"/>
      <c r="AC164" s="297">
        <v>70</v>
      </c>
      <c r="AD164" s="297">
        <f>IF(AC164&lt;=B.2!$L$41,B.2!$M$41,IF(AND(AC164&lt;=B.2!$L$40,AC164&gt;B.2!$L$41),0+((B.2!$M$41-B.2!$M$40)/(B.2!$L$41-B.2!$L$40))*(AC164-B.2!$L$40),0))</f>
        <v>88.543689320388339</v>
      </c>
      <c r="AE164" s="422"/>
      <c r="AF164" s="297"/>
      <c r="AG164" s="297"/>
      <c r="AH164" s="146"/>
    </row>
    <row r="165" spans="2:34">
      <c r="B165" s="145"/>
      <c r="C165" s="296">
        <v>71</v>
      </c>
      <c r="D165" s="296">
        <f>IF(C165&lt;=B.2!$G$35,B.2!$H$35,IF(AND(C165&lt;=B.2!$G$34,C165&gt;B.2!$G$35),0+((B.2!$H$35-B.2!$H$34)/(B.2!$G$35-B.2!$G$34))*(C165-B.2!$G$34),0))</f>
        <v>0</v>
      </c>
      <c r="E165" s="276"/>
      <c r="F165" s="296"/>
      <c r="G165" s="296"/>
      <c r="H165" s="276"/>
      <c r="I165" s="296"/>
      <c r="J165" s="296"/>
      <c r="K165" s="276"/>
      <c r="L165" s="296">
        <v>71</v>
      </c>
      <c r="M165" s="296">
        <f>IF(L165&lt;=B.2!$G$41,B.2!$H$41,IF(AND(L165&lt;=B.2!$G$40,L165&gt;B.2!$G$41),0+((B.2!$H$41-B.2!$H$40)/(B.2!$G$41-B.2!$G$40))*(L165-B.2!$G$40),0))</f>
        <v>71.304347826086953</v>
      </c>
      <c r="N165" s="276"/>
      <c r="O165" s="296"/>
      <c r="P165" s="296"/>
      <c r="Q165" s="276"/>
      <c r="R165" s="295"/>
      <c r="S165" s="420"/>
      <c r="T165" s="297">
        <v>71</v>
      </c>
      <c r="U165" s="297">
        <f>IF(T165&lt;=B.2!$L$35,B.2!$M$35,IF(AND(T165&lt;=B.2!$L$34,T165&gt;B.2!$L$35),0+((B.2!$M$35-B.2!$M$34)/(B.2!$L$35-B.2!$L$34))*(T165-B.2!$L$34),0))</f>
        <v>0</v>
      </c>
      <c r="V165" s="420"/>
      <c r="W165" s="297"/>
      <c r="X165" s="297"/>
      <c r="Y165" s="420"/>
      <c r="Z165" s="297"/>
      <c r="AA165" s="297"/>
      <c r="AB165" s="420"/>
      <c r="AC165" s="297">
        <v>71</v>
      </c>
      <c r="AD165" s="297">
        <f>IF(AC165&lt;=B.2!$L$41,B.2!$M$41,IF(AND(AC165&lt;=B.2!$L$40,AC165&gt;B.2!$L$41),0+((B.2!$M$41-B.2!$M$40)/(B.2!$L$41-B.2!$L$40))*(AC165-B.2!$L$40),0))</f>
        <v>87.378640776699029</v>
      </c>
      <c r="AE165" s="420"/>
      <c r="AF165" s="297"/>
      <c r="AG165" s="297"/>
      <c r="AH165" s="146"/>
    </row>
    <row r="166" spans="2:34">
      <c r="B166" s="145"/>
      <c r="C166" s="296">
        <v>72</v>
      </c>
      <c r="D166" s="296">
        <f>IF(C166&lt;=B.2!$G$35,B.2!$H$35,IF(AND(C166&lt;=B.2!$G$34,C166&gt;B.2!$G$35),0+((B.2!$H$35-B.2!$H$34)/(B.2!$G$35-B.2!$G$34))*(C166-B.2!$G$34),0))</f>
        <v>0</v>
      </c>
      <c r="E166" s="276"/>
      <c r="F166" s="296"/>
      <c r="G166" s="296"/>
      <c r="H166" s="276"/>
      <c r="I166" s="296"/>
      <c r="J166" s="296"/>
      <c r="K166" s="276"/>
      <c r="L166" s="296">
        <v>72</v>
      </c>
      <c r="M166" s="296">
        <f>IF(L166&lt;=B.2!$G$41,B.2!$H$41,IF(AND(L166&lt;=B.2!$G$40,L166&gt;B.2!$G$41),0+((B.2!$H$41-B.2!$H$40)/(B.2!$G$41-B.2!$G$40))*(L166-B.2!$G$40),0))</f>
        <v>69.565217391304344</v>
      </c>
      <c r="N166" s="276"/>
      <c r="O166" s="296"/>
      <c r="P166" s="296"/>
      <c r="Q166" s="276"/>
      <c r="R166" s="295"/>
      <c r="S166" s="420"/>
      <c r="T166" s="297">
        <v>72</v>
      </c>
      <c r="U166" s="297">
        <f>IF(T166&lt;=B.2!$L$35,B.2!$M$35,IF(AND(T166&lt;=B.2!$L$34,T166&gt;B.2!$L$35),0+((B.2!$M$35-B.2!$M$34)/(B.2!$L$35-B.2!$L$34))*(T166-B.2!$L$34),0))</f>
        <v>0</v>
      </c>
      <c r="V166" s="420"/>
      <c r="W166" s="297"/>
      <c r="X166" s="297"/>
      <c r="Y166" s="420"/>
      <c r="Z166" s="297"/>
      <c r="AA166" s="297"/>
      <c r="AB166" s="420"/>
      <c r="AC166" s="297">
        <v>72</v>
      </c>
      <c r="AD166" s="297">
        <f>IF(AC166&lt;=B.2!$L$41,B.2!$M$41,IF(AND(AC166&lt;=B.2!$L$40,AC166&gt;B.2!$L$41),0+((B.2!$M$41-B.2!$M$40)/(B.2!$L$41-B.2!$L$40))*(AC166-B.2!$L$40),0))</f>
        <v>86.213592233009706</v>
      </c>
      <c r="AE166" s="420"/>
      <c r="AF166" s="297"/>
      <c r="AG166" s="297"/>
      <c r="AH166" s="146"/>
    </row>
    <row r="167" spans="2:34">
      <c r="B167" s="145"/>
      <c r="C167" s="296">
        <v>73</v>
      </c>
      <c r="D167" s="296">
        <f>IF(C167&lt;=B.2!$G$35,B.2!$H$35,IF(AND(C167&lt;=B.2!$G$34,C167&gt;B.2!$G$35),0+((B.2!$H$35-B.2!$H$34)/(B.2!$G$35-B.2!$G$34))*(C167-B.2!$G$34),0))</f>
        <v>0</v>
      </c>
      <c r="E167" s="276"/>
      <c r="F167" s="296"/>
      <c r="G167" s="296"/>
      <c r="H167" s="276"/>
      <c r="I167" s="296"/>
      <c r="J167" s="296"/>
      <c r="K167" s="276"/>
      <c r="L167" s="296">
        <v>73</v>
      </c>
      <c r="M167" s="296">
        <f>IF(L167&lt;=B.2!$G$41,B.2!$H$41,IF(AND(L167&lt;=B.2!$G$40,L167&gt;B.2!$G$41),0+((B.2!$H$41-B.2!$H$40)/(B.2!$G$41-B.2!$G$40))*(L167-B.2!$G$40),0))</f>
        <v>67.826086956521735</v>
      </c>
      <c r="N167" s="276"/>
      <c r="O167" s="296"/>
      <c r="P167" s="296"/>
      <c r="Q167" s="276"/>
      <c r="R167" s="295"/>
      <c r="S167" s="420"/>
      <c r="T167" s="297">
        <v>73</v>
      </c>
      <c r="U167" s="297">
        <f>IF(T167&lt;=B.2!$L$35,B.2!$M$35,IF(AND(T167&lt;=B.2!$L$34,T167&gt;B.2!$L$35),0+((B.2!$M$35-B.2!$M$34)/(B.2!$L$35-B.2!$L$34))*(T167-B.2!$L$34),0))</f>
        <v>0</v>
      </c>
      <c r="V167" s="420"/>
      <c r="W167" s="297"/>
      <c r="X167" s="297"/>
      <c r="Y167" s="420"/>
      <c r="Z167" s="297"/>
      <c r="AA167" s="297"/>
      <c r="AB167" s="420"/>
      <c r="AC167" s="297">
        <v>73</v>
      </c>
      <c r="AD167" s="297">
        <f>IF(AC167&lt;=B.2!$L$41,B.2!$M$41,IF(AND(AC167&lt;=B.2!$L$40,AC167&gt;B.2!$L$41),0+((B.2!$M$41-B.2!$M$40)/(B.2!$L$41-B.2!$L$40))*(AC167-B.2!$L$40),0))</f>
        <v>85.048543689320383</v>
      </c>
      <c r="AE167" s="420"/>
      <c r="AF167" s="297"/>
      <c r="AG167" s="297"/>
      <c r="AH167" s="146"/>
    </row>
    <row r="168" spans="2:34">
      <c r="B168" s="145"/>
      <c r="C168" s="296">
        <v>74</v>
      </c>
      <c r="D168" s="296">
        <f>IF(C168&lt;=B.2!$G$35,B.2!$H$35,IF(AND(C168&lt;=B.2!$G$34,C168&gt;B.2!$G$35),0+((B.2!$H$35-B.2!$H$34)/(B.2!$G$35-B.2!$G$34))*(C168-B.2!$G$34),0))</f>
        <v>0</v>
      </c>
      <c r="E168" s="276"/>
      <c r="F168" s="296"/>
      <c r="G168" s="296"/>
      <c r="H168" s="276"/>
      <c r="I168" s="296"/>
      <c r="J168" s="296"/>
      <c r="K168" s="276"/>
      <c r="L168" s="296">
        <v>74</v>
      </c>
      <c r="M168" s="296">
        <f>IF(L168&lt;=B.2!$G$41,B.2!$H$41,IF(AND(L168&lt;=B.2!$G$40,L168&gt;B.2!$G$41),0+((B.2!$H$41-B.2!$H$40)/(B.2!$G$41-B.2!$G$40))*(L168-B.2!$G$40),0))</f>
        <v>66.086956521739125</v>
      </c>
      <c r="N168" s="276"/>
      <c r="O168" s="296"/>
      <c r="P168" s="296"/>
      <c r="Q168" s="276"/>
      <c r="R168" s="295"/>
      <c r="S168" s="420"/>
      <c r="T168" s="297"/>
      <c r="U168" s="297"/>
      <c r="V168" s="420"/>
      <c r="W168" s="297"/>
      <c r="X168" s="297"/>
      <c r="Y168" s="420"/>
      <c r="Z168" s="297"/>
      <c r="AA168" s="297"/>
      <c r="AB168" s="420"/>
      <c r="AC168" s="297">
        <v>74</v>
      </c>
      <c r="AD168" s="297">
        <f>IF(AC168&lt;=B.2!$L$41,B.2!$M$41,IF(AND(AC168&lt;=B.2!$L$40,AC168&gt;B.2!$L$41),0+((B.2!$M$41-B.2!$M$40)/(B.2!$L$41-B.2!$L$40))*(AC168-B.2!$L$40),0))</f>
        <v>83.883495145631059</v>
      </c>
      <c r="AE168" s="420"/>
      <c r="AF168" s="297"/>
      <c r="AG168" s="297"/>
      <c r="AH168" s="146"/>
    </row>
    <row r="169" spans="2:34">
      <c r="B169" s="145"/>
      <c r="C169" s="296">
        <v>75</v>
      </c>
      <c r="D169" s="296">
        <f>IF(C169&lt;=B.2!$G$35,B.2!$H$35,IF(AND(C169&lt;=B.2!$G$34,C169&gt;B.2!$G$35),0+((B.2!$H$35-B.2!$H$34)/(B.2!$G$35-B.2!$G$34))*(C169-B.2!$G$34),0))</f>
        <v>0</v>
      </c>
      <c r="E169" s="276"/>
      <c r="F169" s="296"/>
      <c r="G169" s="296"/>
      <c r="H169" s="276"/>
      <c r="I169" s="296"/>
      <c r="J169" s="296"/>
      <c r="K169" s="276"/>
      <c r="L169" s="296">
        <v>75</v>
      </c>
      <c r="M169" s="296">
        <f>IF(L169&lt;=B.2!$G$41,B.2!$H$41,IF(AND(L169&lt;=B.2!$G$40,L169&gt;B.2!$G$41),0+((B.2!$H$41-B.2!$H$40)/(B.2!$G$41-B.2!$G$40))*(L169-B.2!$G$40),0))</f>
        <v>64.347826086956516</v>
      </c>
      <c r="N169" s="276"/>
      <c r="O169" s="296"/>
      <c r="P169" s="296"/>
      <c r="Q169" s="276"/>
      <c r="R169" s="295"/>
      <c r="S169" s="420"/>
      <c r="T169" s="297"/>
      <c r="U169" s="297"/>
      <c r="V169" s="420"/>
      <c r="W169" s="297"/>
      <c r="X169" s="297"/>
      <c r="Y169" s="420"/>
      <c r="Z169" s="297"/>
      <c r="AA169" s="297"/>
      <c r="AB169" s="420"/>
      <c r="AC169" s="297">
        <v>75</v>
      </c>
      <c r="AD169" s="297">
        <f>IF(AC169&lt;=B.2!$L$41,B.2!$M$41,IF(AND(AC169&lt;=B.2!$L$40,AC169&gt;B.2!$L$41),0+((B.2!$M$41-B.2!$M$40)/(B.2!$L$41-B.2!$L$40))*(AC169-B.2!$L$40),0))</f>
        <v>82.718446601941736</v>
      </c>
      <c r="AE169" s="420"/>
      <c r="AF169" s="297"/>
      <c r="AG169" s="297"/>
      <c r="AH169" s="146"/>
    </row>
    <row r="170" spans="2:34">
      <c r="B170" s="145"/>
      <c r="C170" s="296">
        <v>76</v>
      </c>
      <c r="D170" s="296">
        <f>IF(C170&lt;=B.2!$G$35,B.2!$H$35,IF(AND(C170&lt;=B.2!$G$34,C170&gt;B.2!$G$35),0+((B.2!$H$35-B.2!$H$34)/(B.2!$G$35-B.2!$G$34))*(C170-B.2!$G$34),0))</f>
        <v>0</v>
      </c>
      <c r="E170" s="276"/>
      <c r="F170" s="296"/>
      <c r="G170" s="296"/>
      <c r="H170" s="276"/>
      <c r="I170" s="296"/>
      <c r="J170" s="296"/>
      <c r="K170" s="276"/>
      <c r="L170" s="296">
        <v>76</v>
      </c>
      <c r="M170" s="296">
        <f>IF(L170&lt;=B.2!$G$41,B.2!$H$41,IF(AND(L170&lt;=B.2!$G$40,L170&gt;B.2!$G$41),0+((B.2!$H$41-B.2!$H$40)/(B.2!$G$41-B.2!$G$40))*(L170-B.2!$G$40),0))</f>
        <v>62.608695652173914</v>
      </c>
      <c r="N170" s="276"/>
      <c r="O170" s="296"/>
      <c r="P170" s="296"/>
      <c r="Q170" s="276"/>
      <c r="R170" s="295"/>
      <c r="S170" s="420"/>
      <c r="T170" s="297"/>
      <c r="U170" s="297"/>
      <c r="V170" s="420"/>
      <c r="W170" s="297"/>
      <c r="X170" s="297"/>
      <c r="Y170" s="420"/>
      <c r="Z170" s="297"/>
      <c r="AA170" s="297"/>
      <c r="AB170" s="420"/>
      <c r="AC170" s="297">
        <v>76</v>
      </c>
      <c r="AD170" s="297">
        <f>IF(AC170&lt;=B.2!$L$41,B.2!$M$41,IF(AND(AC170&lt;=B.2!$L$40,AC170&gt;B.2!$L$41),0+((B.2!$M$41-B.2!$M$40)/(B.2!$L$41-B.2!$L$40))*(AC170-B.2!$L$40),0))</f>
        <v>81.553398058252426</v>
      </c>
      <c r="AE170" s="420"/>
      <c r="AF170" s="297"/>
      <c r="AG170" s="297"/>
      <c r="AH170" s="146"/>
    </row>
    <row r="171" spans="2:34">
      <c r="B171" s="145"/>
      <c r="C171" s="296">
        <v>77</v>
      </c>
      <c r="D171" s="296">
        <f>IF(C171&lt;=B.2!$G$35,B.2!$H$35,IF(AND(C171&lt;=B.2!$G$34,C171&gt;B.2!$G$35),0+((B.2!$H$35-B.2!$H$34)/(B.2!$G$35-B.2!$G$34))*(C171-B.2!$G$34),0))</f>
        <v>0</v>
      </c>
      <c r="E171" s="276"/>
      <c r="F171" s="296"/>
      <c r="G171" s="296"/>
      <c r="H171" s="276"/>
      <c r="I171" s="296"/>
      <c r="J171" s="296"/>
      <c r="K171" s="276"/>
      <c r="L171" s="296">
        <v>77</v>
      </c>
      <c r="M171" s="296">
        <f>IF(L171&lt;=B.2!$G$41,B.2!$H$41,IF(AND(L171&lt;=B.2!$G$40,L171&gt;B.2!$G$41),0+((B.2!$H$41-B.2!$H$40)/(B.2!$G$41-B.2!$G$40))*(L171-B.2!$G$40),0))</f>
        <v>60.869565217391305</v>
      </c>
      <c r="N171" s="276"/>
      <c r="O171" s="296"/>
      <c r="P171" s="296"/>
      <c r="Q171" s="276"/>
      <c r="R171" s="295"/>
      <c r="S171" s="420"/>
      <c r="T171" s="297"/>
      <c r="U171" s="297"/>
      <c r="V171" s="420"/>
      <c r="W171" s="297"/>
      <c r="X171" s="297"/>
      <c r="Y171" s="420"/>
      <c r="Z171" s="297"/>
      <c r="AA171" s="297"/>
      <c r="AB171" s="420"/>
      <c r="AC171" s="297">
        <v>77</v>
      </c>
      <c r="AD171" s="297">
        <f>IF(AC171&lt;=B.2!$L$41,B.2!$M$41,IF(AND(AC171&lt;=B.2!$L$40,AC171&gt;B.2!$L$41),0+((B.2!$M$41-B.2!$M$40)/(B.2!$L$41-B.2!$L$40))*(AC171-B.2!$L$40),0))</f>
        <v>80.388349514563103</v>
      </c>
      <c r="AE171" s="420"/>
      <c r="AF171" s="297"/>
      <c r="AG171" s="297"/>
      <c r="AH171" s="146"/>
    </row>
    <row r="172" spans="2:34">
      <c r="B172" s="145"/>
      <c r="C172" s="296"/>
      <c r="D172" s="296"/>
      <c r="E172" s="276"/>
      <c r="F172" s="296"/>
      <c r="G172" s="296"/>
      <c r="H172" s="276"/>
      <c r="I172" s="296"/>
      <c r="J172" s="296"/>
      <c r="K172" s="276"/>
      <c r="L172" s="296">
        <v>78</v>
      </c>
      <c r="M172" s="296">
        <f>IF(L172&lt;=B.2!$G$41,B.2!$H$41,IF(AND(L172&lt;=B.2!$G$40,L172&gt;B.2!$G$41),0+((B.2!$H$41-B.2!$H$40)/(B.2!$G$41-B.2!$G$40))*(L172-B.2!$G$40),0))</f>
        <v>59.130434782608695</v>
      </c>
      <c r="N172" s="276"/>
      <c r="O172" s="296"/>
      <c r="P172" s="296"/>
      <c r="Q172" s="276"/>
      <c r="R172" s="295"/>
      <c r="S172" s="420"/>
      <c r="T172" s="297"/>
      <c r="U172" s="297"/>
      <c r="V172" s="420"/>
      <c r="W172" s="297"/>
      <c r="X172" s="297"/>
      <c r="Y172" s="420"/>
      <c r="Z172" s="297"/>
      <c r="AA172" s="297"/>
      <c r="AB172" s="420"/>
      <c r="AC172" s="297">
        <v>78</v>
      </c>
      <c r="AD172" s="297">
        <f>IF(AC172&lt;=B.2!$L$41,B.2!$M$41,IF(AND(AC172&lt;=B.2!$L$40,AC172&gt;B.2!$L$41),0+((B.2!$M$41-B.2!$M$40)/(B.2!$L$41-B.2!$L$40))*(AC172-B.2!$L$40),0))</f>
        <v>79.22330097087378</v>
      </c>
      <c r="AE172" s="420"/>
      <c r="AF172" s="297"/>
      <c r="AG172" s="297"/>
      <c r="AH172" s="146"/>
    </row>
    <row r="173" spans="2:34">
      <c r="B173" s="145"/>
      <c r="C173" s="296"/>
      <c r="D173" s="296"/>
      <c r="E173" s="276"/>
      <c r="F173" s="296"/>
      <c r="G173" s="296"/>
      <c r="H173" s="276"/>
      <c r="I173" s="296"/>
      <c r="J173" s="296"/>
      <c r="K173" s="276"/>
      <c r="L173" s="296">
        <v>79</v>
      </c>
      <c r="M173" s="296">
        <f>IF(L173&lt;=B.2!$G$41,B.2!$H$41,IF(AND(L173&lt;=B.2!$G$40,L173&gt;B.2!$G$41),0+((B.2!$H$41-B.2!$H$40)/(B.2!$G$41-B.2!$G$40))*(L173-B.2!$G$40),0))</f>
        <v>57.391304347826086</v>
      </c>
      <c r="N173" s="276"/>
      <c r="O173" s="296"/>
      <c r="P173" s="296"/>
      <c r="Q173" s="276"/>
      <c r="R173" s="295"/>
      <c r="S173" s="420"/>
      <c r="T173" s="297"/>
      <c r="U173" s="297"/>
      <c r="V173" s="420"/>
      <c r="W173" s="297"/>
      <c r="X173" s="297"/>
      <c r="Y173" s="420"/>
      <c r="Z173" s="297"/>
      <c r="AA173" s="297"/>
      <c r="AB173" s="420"/>
      <c r="AC173" s="297">
        <v>79</v>
      </c>
      <c r="AD173" s="297">
        <f>IF(AC173&lt;=B.2!$L$41,B.2!$M$41,IF(AND(AC173&lt;=B.2!$L$40,AC173&gt;B.2!$L$41),0+((B.2!$M$41-B.2!$M$40)/(B.2!$L$41-B.2!$L$40))*(AC173-B.2!$L$40),0))</f>
        <v>78.058252427184456</v>
      </c>
      <c r="AE173" s="420"/>
      <c r="AF173" s="297"/>
      <c r="AG173" s="297"/>
      <c r="AH173" s="146"/>
    </row>
    <row r="174" spans="2:34">
      <c r="B174" s="145"/>
      <c r="C174" s="296"/>
      <c r="D174" s="296"/>
      <c r="E174" s="276"/>
      <c r="F174" s="296"/>
      <c r="G174" s="296"/>
      <c r="H174" s="276"/>
      <c r="I174" s="296"/>
      <c r="J174" s="296"/>
      <c r="K174" s="276"/>
      <c r="L174" s="296">
        <v>80</v>
      </c>
      <c r="M174" s="296">
        <f>IF(L174&lt;=B.2!$G$41,B.2!$H$41,IF(AND(L174&lt;=B.2!$G$40,L174&gt;B.2!$G$41),0+((B.2!$H$41-B.2!$H$40)/(B.2!$G$41-B.2!$G$40))*(L174-B.2!$G$40),0))</f>
        <v>55.652173913043477</v>
      </c>
      <c r="N174" s="276"/>
      <c r="O174" s="296"/>
      <c r="P174" s="296"/>
      <c r="Q174" s="276"/>
      <c r="R174" s="295"/>
      <c r="S174" s="420"/>
      <c r="T174" s="297"/>
      <c r="U174" s="297"/>
      <c r="V174" s="420"/>
      <c r="W174" s="297"/>
      <c r="X174" s="297"/>
      <c r="Y174" s="420"/>
      <c r="Z174" s="297"/>
      <c r="AA174" s="297"/>
      <c r="AB174" s="420"/>
      <c r="AC174" s="297">
        <v>80</v>
      </c>
      <c r="AD174" s="297">
        <f>IF(AC174&lt;=B.2!$L$41,B.2!$M$41,IF(AND(AC174&lt;=B.2!$L$40,AC174&gt;B.2!$L$41),0+((B.2!$M$41-B.2!$M$40)/(B.2!$L$41-B.2!$L$40))*(AC174-B.2!$L$40),0))</f>
        <v>76.893203883495147</v>
      </c>
      <c r="AE174" s="420"/>
      <c r="AF174" s="297"/>
      <c r="AG174" s="297"/>
      <c r="AH174" s="146"/>
    </row>
    <row r="175" spans="2:34">
      <c r="B175" s="145"/>
      <c r="C175" s="296"/>
      <c r="D175" s="296"/>
      <c r="E175" s="276"/>
      <c r="F175" s="296"/>
      <c r="G175" s="296"/>
      <c r="H175" s="276"/>
      <c r="I175" s="296"/>
      <c r="J175" s="296"/>
      <c r="K175" s="276"/>
      <c r="L175" s="296">
        <v>81</v>
      </c>
      <c r="M175" s="296">
        <f>IF(L175&lt;=B.2!$G$41,B.2!$H$41,IF(AND(L175&lt;=B.2!$G$40,L175&gt;B.2!$G$41),0+((B.2!$H$41-B.2!$H$40)/(B.2!$G$41-B.2!$G$40))*(L175-B.2!$G$40),0))</f>
        <v>53.913043478260867</v>
      </c>
      <c r="N175" s="276"/>
      <c r="O175" s="296"/>
      <c r="P175" s="296"/>
      <c r="Q175" s="276"/>
      <c r="R175" s="295"/>
      <c r="S175" s="420"/>
      <c r="T175" s="297"/>
      <c r="U175" s="297"/>
      <c r="V175" s="420"/>
      <c r="W175" s="297"/>
      <c r="X175" s="297"/>
      <c r="Y175" s="420"/>
      <c r="Z175" s="297"/>
      <c r="AA175" s="297"/>
      <c r="AB175" s="420"/>
      <c r="AC175" s="297">
        <v>81</v>
      </c>
      <c r="AD175" s="297">
        <f>IF(AC175&lt;=B.2!$L$41,B.2!$M$41,IF(AND(AC175&lt;=B.2!$L$40,AC175&gt;B.2!$L$41),0+((B.2!$M$41-B.2!$M$40)/(B.2!$L$41-B.2!$L$40))*(AC175-B.2!$L$40),0))</f>
        <v>75.728155339805824</v>
      </c>
      <c r="AE175" s="420"/>
      <c r="AF175" s="297"/>
      <c r="AG175" s="297"/>
      <c r="AH175" s="146"/>
    </row>
    <row r="176" spans="2:34">
      <c r="B176" s="145"/>
      <c r="C176" s="296"/>
      <c r="D176" s="296"/>
      <c r="E176" s="276"/>
      <c r="F176" s="296"/>
      <c r="G176" s="296"/>
      <c r="H176" s="276"/>
      <c r="I176" s="296"/>
      <c r="J176" s="296"/>
      <c r="K176" s="276"/>
      <c r="L176" s="296">
        <v>82</v>
      </c>
      <c r="M176" s="296">
        <f>IF(L176&lt;=B.2!$G$41,B.2!$H$41,IF(AND(L176&lt;=B.2!$G$40,L176&gt;B.2!$G$41),0+((B.2!$H$41-B.2!$H$40)/(B.2!$G$41-B.2!$G$40))*(L176-B.2!$G$40),0))</f>
        <v>52.173913043478258</v>
      </c>
      <c r="N176" s="276"/>
      <c r="O176" s="296"/>
      <c r="P176" s="296"/>
      <c r="Q176" s="276"/>
      <c r="R176" s="295"/>
      <c r="S176" s="420"/>
      <c r="T176" s="297"/>
      <c r="U176" s="297"/>
      <c r="V176" s="420"/>
      <c r="W176" s="297"/>
      <c r="X176" s="297"/>
      <c r="Y176" s="420"/>
      <c r="Z176" s="297"/>
      <c r="AA176" s="297"/>
      <c r="AB176" s="420"/>
      <c r="AC176" s="297">
        <v>82</v>
      </c>
      <c r="AD176" s="297">
        <f>IF(AC176&lt;=B.2!$L$41,B.2!$M$41,IF(AND(AC176&lt;=B.2!$L$40,AC176&gt;B.2!$L$41),0+((B.2!$M$41-B.2!$M$40)/(B.2!$L$41-B.2!$L$40))*(AC176-B.2!$L$40),0))</f>
        <v>74.5631067961165</v>
      </c>
      <c r="AE176" s="420"/>
      <c r="AF176" s="297"/>
      <c r="AG176" s="297"/>
      <c r="AH176" s="146"/>
    </row>
    <row r="177" spans="2:34">
      <c r="B177" s="145"/>
      <c r="C177" s="296"/>
      <c r="D177" s="296"/>
      <c r="E177" s="276"/>
      <c r="F177" s="296"/>
      <c r="G177" s="296"/>
      <c r="H177" s="276"/>
      <c r="I177" s="296"/>
      <c r="J177" s="296"/>
      <c r="K177" s="276"/>
      <c r="L177" s="296">
        <v>83</v>
      </c>
      <c r="M177" s="296">
        <f>IF(L177&lt;=B.2!$G$41,B.2!$H$41,IF(AND(L177&lt;=B.2!$G$40,L177&gt;B.2!$G$41),0+((B.2!$H$41-B.2!$H$40)/(B.2!$G$41-B.2!$G$40))*(L177-B.2!$G$40),0))</f>
        <v>50.434782608695649</v>
      </c>
      <c r="N177" s="276"/>
      <c r="O177" s="296"/>
      <c r="P177" s="296"/>
      <c r="Q177" s="276"/>
      <c r="R177" s="295"/>
      <c r="S177" s="420"/>
      <c r="T177" s="297"/>
      <c r="U177" s="297"/>
      <c r="V177" s="420"/>
      <c r="W177" s="297"/>
      <c r="X177" s="297"/>
      <c r="Y177" s="420"/>
      <c r="Z177" s="297"/>
      <c r="AA177" s="297"/>
      <c r="AB177" s="420"/>
      <c r="AC177" s="297">
        <v>83</v>
      </c>
      <c r="AD177" s="297">
        <f>IF(AC177&lt;=B.2!$L$41,B.2!$M$41,IF(AND(AC177&lt;=B.2!$L$40,AC177&gt;B.2!$L$41),0+((B.2!$M$41-B.2!$M$40)/(B.2!$L$41-B.2!$L$40))*(AC177-B.2!$L$40),0))</f>
        <v>73.398058252427177</v>
      </c>
      <c r="AE177" s="420"/>
      <c r="AF177" s="297"/>
      <c r="AG177" s="297"/>
      <c r="AH177" s="146"/>
    </row>
    <row r="178" spans="2:34">
      <c r="B178" s="145"/>
      <c r="C178" s="296"/>
      <c r="D178" s="296"/>
      <c r="E178" s="276"/>
      <c r="F178" s="296"/>
      <c r="G178" s="296"/>
      <c r="H178" s="276"/>
      <c r="I178" s="296"/>
      <c r="J178" s="296"/>
      <c r="K178" s="276"/>
      <c r="L178" s="296">
        <v>84</v>
      </c>
      <c r="M178" s="296">
        <f>IF(L178&lt;=B.2!$G$41,B.2!$H$41,IF(AND(L178&lt;=B.2!$G$40,L178&gt;B.2!$G$41),0+((B.2!$H$41-B.2!$H$40)/(B.2!$G$41-B.2!$G$40))*(L178-B.2!$G$40),0))</f>
        <v>48.695652173913039</v>
      </c>
      <c r="N178" s="276"/>
      <c r="O178" s="296"/>
      <c r="P178" s="296"/>
      <c r="Q178" s="276"/>
      <c r="R178" s="295"/>
      <c r="S178" s="420"/>
      <c r="T178" s="297"/>
      <c r="U178" s="297"/>
      <c r="V178" s="420"/>
      <c r="W178" s="297"/>
      <c r="X178" s="297"/>
      <c r="Y178" s="420"/>
      <c r="Z178" s="297"/>
      <c r="AA178" s="297"/>
      <c r="AB178" s="420"/>
      <c r="AC178" s="297">
        <v>84</v>
      </c>
      <c r="AD178" s="297">
        <f>IF(AC178&lt;=B.2!$L$41,B.2!$M$41,IF(AND(AC178&lt;=B.2!$L$40,AC178&gt;B.2!$L$41),0+((B.2!$M$41-B.2!$M$40)/(B.2!$L$41-B.2!$L$40))*(AC178-B.2!$L$40),0))</f>
        <v>72.233009708737853</v>
      </c>
      <c r="AE178" s="420"/>
      <c r="AF178" s="297"/>
      <c r="AG178" s="297"/>
      <c r="AH178" s="146"/>
    </row>
    <row r="179" spans="2:34">
      <c r="B179" s="145"/>
      <c r="C179" s="296"/>
      <c r="D179" s="296"/>
      <c r="E179" s="276"/>
      <c r="F179" s="296"/>
      <c r="G179" s="296"/>
      <c r="H179" s="276"/>
      <c r="I179" s="296"/>
      <c r="J179" s="296"/>
      <c r="K179" s="276"/>
      <c r="L179" s="296">
        <v>85</v>
      </c>
      <c r="M179" s="296">
        <f>IF(L179&lt;=B.2!$G$41,B.2!$H$41,IF(AND(L179&lt;=B.2!$G$40,L179&gt;B.2!$G$41),0+((B.2!$H$41-B.2!$H$40)/(B.2!$G$41-B.2!$G$40))*(L179-B.2!$G$40),0))</f>
        <v>46.95652173913043</v>
      </c>
      <c r="N179" s="276"/>
      <c r="O179" s="296"/>
      <c r="P179" s="296"/>
      <c r="Q179" s="276"/>
      <c r="R179" s="295"/>
      <c r="S179" s="420"/>
      <c r="T179" s="297"/>
      <c r="U179" s="297"/>
      <c r="V179" s="420"/>
      <c r="W179" s="297"/>
      <c r="X179" s="297"/>
      <c r="Y179" s="420"/>
      <c r="Z179" s="297"/>
      <c r="AA179" s="297"/>
      <c r="AB179" s="420"/>
      <c r="AC179" s="297">
        <v>85</v>
      </c>
      <c r="AD179" s="297">
        <f>IF(AC179&lt;=B.2!$L$41,B.2!$M$41,IF(AND(AC179&lt;=B.2!$L$40,AC179&gt;B.2!$L$41),0+((B.2!$M$41-B.2!$M$40)/(B.2!$L$41-B.2!$L$40))*(AC179-B.2!$L$40),0))</f>
        <v>71.067961165048544</v>
      </c>
      <c r="AE179" s="420"/>
      <c r="AF179" s="297"/>
      <c r="AG179" s="297"/>
      <c r="AH179" s="146"/>
    </row>
    <row r="180" spans="2:34">
      <c r="B180" s="145"/>
      <c r="C180" s="296"/>
      <c r="D180" s="296"/>
      <c r="E180" s="276"/>
      <c r="F180" s="296"/>
      <c r="G180" s="296"/>
      <c r="H180" s="276"/>
      <c r="I180" s="296"/>
      <c r="J180" s="296"/>
      <c r="K180" s="276"/>
      <c r="L180" s="296">
        <v>86</v>
      </c>
      <c r="M180" s="296">
        <f>IF(L180&lt;=B.2!$G$41,B.2!$H$41,IF(AND(L180&lt;=B.2!$G$40,L180&gt;B.2!$G$41),0+((B.2!$H$41-B.2!$H$40)/(B.2!$G$41-B.2!$G$40))*(L180-B.2!$G$40),0))</f>
        <v>45.217391304347828</v>
      </c>
      <c r="N180" s="276"/>
      <c r="O180" s="296"/>
      <c r="P180" s="296"/>
      <c r="Q180" s="276"/>
      <c r="R180" s="295"/>
      <c r="S180" s="420"/>
      <c r="T180" s="297"/>
      <c r="U180" s="297"/>
      <c r="V180" s="420"/>
      <c r="W180" s="297"/>
      <c r="X180" s="297"/>
      <c r="Y180" s="420"/>
      <c r="Z180" s="297"/>
      <c r="AA180" s="297"/>
      <c r="AB180" s="420"/>
      <c r="AC180" s="297">
        <v>86</v>
      </c>
      <c r="AD180" s="297">
        <f>IF(AC180&lt;=B.2!$L$41,B.2!$M$41,IF(AND(AC180&lt;=B.2!$L$40,AC180&gt;B.2!$L$41),0+((B.2!$M$41-B.2!$M$40)/(B.2!$L$41-B.2!$L$40))*(AC180-B.2!$L$40),0))</f>
        <v>69.902912621359221</v>
      </c>
      <c r="AE180" s="420"/>
      <c r="AF180" s="297"/>
      <c r="AG180" s="297"/>
      <c r="AH180" s="146"/>
    </row>
    <row r="181" spans="2:34">
      <c r="B181" s="145"/>
      <c r="C181" s="296"/>
      <c r="D181" s="296"/>
      <c r="E181" s="276"/>
      <c r="F181" s="296"/>
      <c r="G181" s="296"/>
      <c r="H181" s="276"/>
      <c r="I181" s="296"/>
      <c r="J181" s="296"/>
      <c r="K181" s="276"/>
      <c r="L181" s="296">
        <v>87</v>
      </c>
      <c r="M181" s="296">
        <f>IF(L181&lt;=B.2!$G$41,B.2!$H$41,IF(AND(L181&lt;=B.2!$G$40,L181&gt;B.2!$G$41),0+((B.2!$H$41-B.2!$H$40)/(B.2!$G$41-B.2!$G$40))*(L181-B.2!$G$40),0))</f>
        <v>43.478260869565219</v>
      </c>
      <c r="N181" s="276"/>
      <c r="O181" s="296"/>
      <c r="P181" s="296"/>
      <c r="Q181" s="276"/>
      <c r="R181" s="295"/>
      <c r="S181" s="420"/>
      <c r="T181" s="297"/>
      <c r="U181" s="297"/>
      <c r="V181" s="420"/>
      <c r="W181" s="297"/>
      <c r="X181" s="297"/>
      <c r="Y181" s="420"/>
      <c r="Z181" s="297"/>
      <c r="AA181" s="297"/>
      <c r="AB181" s="420"/>
      <c r="AC181" s="297">
        <v>87</v>
      </c>
      <c r="AD181" s="297">
        <f>IF(AC181&lt;=B.2!$L$41,B.2!$M$41,IF(AND(AC181&lt;=B.2!$L$40,AC181&gt;B.2!$L$41),0+((B.2!$M$41-B.2!$M$40)/(B.2!$L$41-B.2!$L$40))*(AC181-B.2!$L$40),0))</f>
        <v>68.737864077669897</v>
      </c>
      <c r="AE181" s="420"/>
      <c r="AF181" s="297"/>
      <c r="AG181" s="297"/>
      <c r="AH181" s="146"/>
    </row>
    <row r="182" spans="2:34">
      <c r="B182" s="145"/>
      <c r="C182" s="296"/>
      <c r="D182" s="296"/>
      <c r="E182" s="276"/>
      <c r="F182" s="296"/>
      <c r="G182" s="296"/>
      <c r="H182" s="276"/>
      <c r="I182" s="296"/>
      <c r="J182" s="296"/>
      <c r="K182" s="276"/>
      <c r="L182" s="296">
        <v>88</v>
      </c>
      <c r="M182" s="296">
        <f>IF(L182&lt;=B.2!$G$41,B.2!$H$41,IF(AND(L182&lt;=B.2!$G$40,L182&gt;B.2!$G$41),0+((B.2!$H$41-B.2!$H$40)/(B.2!$G$41-B.2!$G$40))*(L182-B.2!$G$40),0))</f>
        <v>41.739130434782609</v>
      </c>
      <c r="N182" s="276"/>
      <c r="O182" s="296"/>
      <c r="P182" s="296"/>
      <c r="Q182" s="276"/>
      <c r="R182" s="295"/>
      <c r="S182" s="420"/>
      <c r="T182" s="297"/>
      <c r="U182" s="297"/>
      <c r="V182" s="420"/>
      <c r="W182" s="297"/>
      <c r="X182" s="297"/>
      <c r="Y182" s="420"/>
      <c r="Z182" s="297"/>
      <c r="AA182" s="297"/>
      <c r="AB182" s="420"/>
      <c r="AC182" s="297">
        <v>88</v>
      </c>
      <c r="AD182" s="297">
        <f>IF(AC182&lt;=B.2!$L$41,B.2!$M$41,IF(AND(AC182&lt;=B.2!$L$40,AC182&gt;B.2!$L$41),0+((B.2!$M$41-B.2!$M$40)/(B.2!$L$41-B.2!$L$40))*(AC182-B.2!$L$40),0))</f>
        <v>67.572815533980574</v>
      </c>
      <c r="AE182" s="420"/>
      <c r="AF182" s="297"/>
      <c r="AG182" s="297"/>
      <c r="AH182" s="146"/>
    </row>
    <row r="183" spans="2:34">
      <c r="B183" s="145"/>
      <c r="C183" s="296"/>
      <c r="D183" s="296"/>
      <c r="E183" s="276"/>
      <c r="F183" s="296"/>
      <c r="G183" s="296"/>
      <c r="H183" s="276"/>
      <c r="I183" s="296"/>
      <c r="J183" s="296"/>
      <c r="K183" s="276"/>
      <c r="L183" s="296">
        <v>89</v>
      </c>
      <c r="M183" s="296">
        <f>IF(L183&lt;=B.2!$G$41,B.2!$H$41,IF(AND(L183&lt;=B.2!$G$40,L183&gt;B.2!$G$41),0+((B.2!$H$41-B.2!$H$40)/(B.2!$G$41-B.2!$G$40))*(L183-B.2!$G$40),0))</f>
        <v>40</v>
      </c>
      <c r="N183" s="276"/>
      <c r="O183" s="296"/>
      <c r="P183" s="296"/>
      <c r="Q183" s="276"/>
      <c r="R183" s="295"/>
      <c r="S183" s="420"/>
      <c r="T183" s="297"/>
      <c r="U183" s="297"/>
      <c r="V183" s="420"/>
      <c r="W183" s="297"/>
      <c r="X183" s="297"/>
      <c r="Y183" s="420"/>
      <c r="Z183" s="297"/>
      <c r="AA183" s="297"/>
      <c r="AB183" s="420"/>
      <c r="AC183" s="297">
        <v>89</v>
      </c>
      <c r="AD183" s="297">
        <f>IF(AC183&lt;=B.2!$L$41,B.2!$M$41,IF(AND(AC183&lt;=B.2!$L$40,AC183&gt;B.2!$L$41),0+((B.2!$M$41-B.2!$M$40)/(B.2!$L$41-B.2!$L$40))*(AC183-B.2!$L$40),0))</f>
        <v>66.407766990291265</v>
      </c>
      <c r="AE183" s="420"/>
      <c r="AF183" s="297"/>
      <c r="AG183" s="297"/>
      <c r="AH183" s="146"/>
    </row>
    <row r="184" spans="2:34">
      <c r="B184" s="145"/>
      <c r="C184" s="296"/>
      <c r="D184" s="296"/>
      <c r="E184" s="276"/>
      <c r="F184" s="296"/>
      <c r="G184" s="296"/>
      <c r="H184" s="276"/>
      <c r="I184" s="296"/>
      <c r="J184" s="296"/>
      <c r="K184" s="276"/>
      <c r="L184" s="296">
        <v>90</v>
      </c>
      <c r="M184" s="296">
        <f>IF(L184&lt;=B.2!$G$41,B.2!$H$41,IF(AND(L184&lt;=B.2!$G$40,L184&gt;B.2!$G$41),0+((B.2!$H$41-B.2!$H$40)/(B.2!$G$41-B.2!$G$40))*(L184-B.2!$G$40),0))</f>
        <v>38.260869565217391</v>
      </c>
      <c r="N184" s="276"/>
      <c r="O184" s="296"/>
      <c r="P184" s="296"/>
      <c r="Q184" s="276"/>
      <c r="R184" s="295"/>
      <c r="S184" s="420"/>
      <c r="T184" s="297"/>
      <c r="U184" s="297"/>
      <c r="V184" s="420"/>
      <c r="W184" s="297"/>
      <c r="X184" s="297"/>
      <c r="Y184" s="420"/>
      <c r="Z184" s="297"/>
      <c r="AA184" s="297"/>
      <c r="AB184" s="420"/>
      <c r="AC184" s="297">
        <v>90</v>
      </c>
      <c r="AD184" s="297">
        <f>IF(AC184&lt;=B.2!$L$41,B.2!$M$41,IF(AND(AC184&lt;=B.2!$L$40,AC184&gt;B.2!$L$41),0+((B.2!$M$41-B.2!$M$40)/(B.2!$L$41-B.2!$L$40))*(AC184-B.2!$L$40),0))</f>
        <v>65.242718446601941</v>
      </c>
      <c r="AE184" s="420"/>
      <c r="AF184" s="297"/>
      <c r="AG184" s="297"/>
      <c r="AH184" s="146"/>
    </row>
    <row r="185" spans="2:34">
      <c r="B185" s="145"/>
      <c r="C185" s="296"/>
      <c r="D185" s="296"/>
      <c r="E185" s="276"/>
      <c r="F185" s="296"/>
      <c r="G185" s="296"/>
      <c r="H185" s="276"/>
      <c r="I185" s="296"/>
      <c r="J185" s="296"/>
      <c r="K185" s="276"/>
      <c r="L185" s="296">
        <v>91</v>
      </c>
      <c r="M185" s="296">
        <f>IF(L185&lt;=B.2!$G$41,B.2!$H$41,IF(AND(L185&lt;=B.2!$G$40,L185&gt;B.2!$G$41),0+((B.2!$H$41-B.2!$H$40)/(B.2!$G$41-B.2!$G$40))*(L185-B.2!$G$40),0))</f>
        <v>36.521739130434781</v>
      </c>
      <c r="N185" s="276"/>
      <c r="O185" s="296"/>
      <c r="P185" s="296"/>
      <c r="Q185" s="276"/>
      <c r="R185" s="295"/>
      <c r="S185" s="420"/>
      <c r="T185" s="297"/>
      <c r="U185" s="297"/>
      <c r="V185" s="420"/>
      <c r="W185" s="297"/>
      <c r="X185" s="297"/>
      <c r="Y185" s="420"/>
      <c r="Z185" s="297"/>
      <c r="AA185" s="297"/>
      <c r="AB185" s="420"/>
      <c r="AC185" s="297">
        <v>91</v>
      </c>
      <c r="AD185" s="297">
        <f>IF(AC185&lt;=B.2!$L$41,B.2!$M$41,IF(AND(AC185&lt;=B.2!$L$40,AC185&gt;B.2!$L$41),0+((B.2!$M$41-B.2!$M$40)/(B.2!$L$41-B.2!$L$40))*(AC185-B.2!$L$40),0))</f>
        <v>64.077669902912618</v>
      </c>
      <c r="AE185" s="420"/>
      <c r="AF185" s="297"/>
      <c r="AG185" s="297"/>
      <c r="AH185" s="146"/>
    </row>
    <row r="186" spans="2:34">
      <c r="B186" s="145"/>
      <c r="C186" s="296"/>
      <c r="D186" s="296"/>
      <c r="E186" s="276"/>
      <c r="F186" s="296"/>
      <c r="G186" s="296"/>
      <c r="H186" s="276"/>
      <c r="I186" s="296"/>
      <c r="J186" s="296"/>
      <c r="K186" s="276"/>
      <c r="L186" s="296">
        <v>92</v>
      </c>
      <c r="M186" s="296">
        <f>IF(L186&lt;=B.2!$G$41,B.2!$H$41,IF(AND(L186&lt;=B.2!$G$40,L186&gt;B.2!$G$41),0+((B.2!$H$41-B.2!$H$40)/(B.2!$G$41-B.2!$G$40))*(L186-B.2!$G$40),0))</f>
        <v>34.782608695652172</v>
      </c>
      <c r="N186" s="276"/>
      <c r="O186" s="296"/>
      <c r="P186" s="296"/>
      <c r="Q186" s="276"/>
      <c r="R186" s="295"/>
      <c r="S186" s="420"/>
      <c r="T186" s="297"/>
      <c r="U186" s="297"/>
      <c r="V186" s="420"/>
      <c r="W186" s="297"/>
      <c r="X186" s="297"/>
      <c r="Y186" s="420"/>
      <c r="Z186" s="297"/>
      <c r="AA186" s="297"/>
      <c r="AB186" s="420"/>
      <c r="AC186" s="297">
        <v>92</v>
      </c>
      <c r="AD186" s="297">
        <f>IF(AC186&lt;=B.2!$L$41,B.2!$M$41,IF(AND(AC186&lt;=B.2!$L$40,AC186&gt;B.2!$L$41),0+((B.2!$M$41-B.2!$M$40)/(B.2!$L$41-B.2!$L$40))*(AC186-B.2!$L$40),0))</f>
        <v>62.912621359223294</v>
      </c>
      <c r="AE186" s="420"/>
      <c r="AF186" s="297"/>
      <c r="AG186" s="297"/>
      <c r="AH186" s="146"/>
    </row>
    <row r="187" spans="2:34">
      <c r="B187" s="145"/>
      <c r="C187" s="296"/>
      <c r="D187" s="296"/>
      <c r="E187" s="276"/>
      <c r="F187" s="296"/>
      <c r="G187" s="296"/>
      <c r="H187" s="276"/>
      <c r="I187" s="296"/>
      <c r="J187" s="296"/>
      <c r="K187" s="276"/>
      <c r="L187" s="296">
        <v>93</v>
      </c>
      <c r="M187" s="296">
        <f>IF(L187&lt;=B.2!$G$41,B.2!$H$41,IF(AND(L187&lt;=B.2!$G$40,L187&gt;B.2!$G$41),0+((B.2!$H$41-B.2!$H$40)/(B.2!$G$41-B.2!$G$40))*(L187-B.2!$G$40),0))</f>
        <v>33.043478260869563</v>
      </c>
      <c r="N187" s="276"/>
      <c r="O187" s="296"/>
      <c r="P187" s="296"/>
      <c r="Q187" s="276"/>
      <c r="R187" s="295"/>
      <c r="S187" s="420"/>
      <c r="T187" s="297"/>
      <c r="U187" s="297"/>
      <c r="V187" s="420"/>
      <c r="W187" s="297"/>
      <c r="X187" s="297"/>
      <c r="Y187" s="420"/>
      <c r="Z187" s="297"/>
      <c r="AA187" s="297"/>
      <c r="AB187" s="420"/>
      <c r="AC187" s="297">
        <v>93</v>
      </c>
      <c r="AD187" s="297">
        <f>IF(AC187&lt;=B.2!$L$41,B.2!$M$41,IF(AND(AC187&lt;=B.2!$L$40,AC187&gt;B.2!$L$41),0+((B.2!$M$41-B.2!$M$40)/(B.2!$L$41-B.2!$L$40))*(AC187-B.2!$L$40),0))</f>
        <v>61.747572815533978</v>
      </c>
      <c r="AE187" s="420"/>
      <c r="AF187" s="297"/>
      <c r="AG187" s="297"/>
      <c r="AH187" s="146"/>
    </row>
    <row r="188" spans="2:34">
      <c r="B188" s="145"/>
      <c r="C188" s="296"/>
      <c r="D188" s="296"/>
      <c r="E188" s="276"/>
      <c r="F188" s="296"/>
      <c r="G188" s="296"/>
      <c r="H188" s="276"/>
      <c r="I188" s="296"/>
      <c r="J188" s="296"/>
      <c r="K188" s="276"/>
      <c r="L188" s="296">
        <v>94</v>
      </c>
      <c r="M188" s="296">
        <f>IF(L188&lt;=B.2!$G$41,B.2!$H$41,IF(AND(L188&lt;=B.2!$G$40,L188&gt;B.2!$G$41),0+((B.2!$H$41-B.2!$H$40)/(B.2!$G$41-B.2!$G$40))*(L188-B.2!$G$40),0))</f>
        <v>31.304347826086957</v>
      </c>
      <c r="N188" s="276"/>
      <c r="O188" s="296"/>
      <c r="P188" s="296"/>
      <c r="Q188" s="276"/>
      <c r="R188" s="295"/>
      <c r="S188" s="420"/>
      <c r="T188" s="297"/>
      <c r="U188" s="297"/>
      <c r="V188" s="420"/>
      <c r="W188" s="297"/>
      <c r="X188" s="297"/>
      <c r="Y188" s="420"/>
      <c r="Z188" s="297"/>
      <c r="AA188" s="297"/>
      <c r="AB188" s="420"/>
      <c r="AC188" s="297">
        <v>94</v>
      </c>
      <c r="AD188" s="297">
        <f>IF(AC188&lt;=B.2!$L$41,B.2!$M$41,IF(AND(AC188&lt;=B.2!$L$40,AC188&gt;B.2!$L$41),0+((B.2!$M$41-B.2!$M$40)/(B.2!$L$41-B.2!$L$40))*(AC188-B.2!$L$40),0))</f>
        <v>60.582524271844655</v>
      </c>
      <c r="AE188" s="420"/>
      <c r="AF188" s="297"/>
      <c r="AG188" s="297"/>
      <c r="AH188" s="146"/>
    </row>
    <row r="189" spans="2:34">
      <c r="B189" s="145"/>
      <c r="C189" s="296"/>
      <c r="D189" s="296"/>
      <c r="E189" s="276"/>
      <c r="F189" s="296"/>
      <c r="G189" s="296"/>
      <c r="H189" s="276"/>
      <c r="I189" s="296"/>
      <c r="J189" s="296"/>
      <c r="K189" s="276"/>
      <c r="L189" s="296">
        <v>95</v>
      </c>
      <c r="M189" s="296">
        <f>IF(L189&lt;=B.2!$G$41,B.2!$H$41,IF(AND(L189&lt;=B.2!$G$40,L189&gt;B.2!$G$41),0+((B.2!$H$41-B.2!$H$40)/(B.2!$G$41-B.2!$G$40))*(L189-B.2!$G$40),0))</f>
        <v>29.565217391304348</v>
      </c>
      <c r="N189" s="276"/>
      <c r="O189" s="296"/>
      <c r="P189" s="296"/>
      <c r="Q189" s="276"/>
      <c r="R189" s="295"/>
      <c r="S189" s="420"/>
      <c r="T189" s="297"/>
      <c r="U189" s="297"/>
      <c r="V189" s="420"/>
      <c r="W189" s="297"/>
      <c r="X189" s="297"/>
      <c r="Y189" s="420"/>
      <c r="Z189" s="297"/>
      <c r="AA189" s="297"/>
      <c r="AB189" s="420"/>
      <c r="AC189" s="297">
        <v>95</v>
      </c>
      <c r="AD189" s="297">
        <f>IF(AC189&lt;=B.2!$L$41,B.2!$M$41,IF(AND(AC189&lt;=B.2!$L$40,AC189&gt;B.2!$L$41),0+((B.2!$M$41-B.2!$M$40)/(B.2!$L$41-B.2!$L$40))*(AC189-B.2!$L$40),0))</f>
        <v>59.417475728155338</v>
      </c>
      <c r="AE189" s="420"/>
      <c r="AF189" s="297"/>
      <c r="AG189" s="297"/>
      <c r="AH189" s="146"/>
    </row>
    <row r="190" spans="2:34">
      <c r="B190" s="145"/>
      <c r="C190" s="296"/>
      <c r="D190" s="296"/>
      <c r="E190" s="276"/>
      <c r="F190" s="296"/>
      <c r="G190" s="296"/>
      <c r="H190" s="276"/>
      <c r="I190" s="296"/>
      <c r="J190" s="296"/>
      <c r="K190" s="276"/>
      <c r="L190" s="296">
        <v>96</v>
      </c>
      <c r="M190" s="296">
        <f>IF(L190&lt;=B.2!$G$41,B.2!$H$41,IF(AND(L190&lt;=B.2!$G$40,L190&gt;B.2!$G$41),0+((B.2!$H$41-B.2!$H$40)/(B.2!$G$41-B.2!$G$40))*(L190-B.2!$G$40),0))</f>
        <v>27.826086956521738</v>
      </c>
      <c r="N190" s="276"/>
      <c r="O190" s="296"/>
      <c r="P190" s="296"/>
      <c r="Q190" s="276"/>
      <c r="R190" s="295"/>
      <c r="S190" s="420"/>
      <c r="T190" s="297"/>
      <c r="U190" s="297"/>
      <c r="V190" s="420"/>
      <c r="W190" s="297"/>
      <c r="X190" s="297"/>
      <c r="Y190" s="420"/>
      <c r="Z190" s="297"/>
      <c r="AA190" s="297"/>
      <c r="AB190" s="420"/>
      <c r="AC190" s="297">
        <v>96</v>
      </c>
      <c r="AD190" s="297">
        <f>IF(AC190&lt;=B.2!$L$41,B.2!$M$41,IF(AND(AC190&lt;=B.2!$L$40,AC190&gt;B.2!$L$41),0+((B.2!$M$41-B.2!$M$40)/(B.2!$L$41-B.2!$L$40))*(AC190-B.2!$L$40),0))</f>
        <v>58.252427184466015</v>
      </c>
      <c r="AE190" s="420"/>
      <c r="AF190" s="297"/>
      <c r="AG190" s="297"/>
      <c r="AH190" s="146"/>
    </row>
    <row r="191" spans="2:34">
      <c r="B191" s="145"/>
      <c r="C191" s="296"/>
      <c r="D191" s="296"/>
      <c r="E191" s="276"/>
      <c r="F191" s="296"/>
      <c r="G191" s="296"/>
      <c r="H191" s="276"/>
      <c r="I191" s="296"/>
      <c r="J191" s="296"/>
      <c r="K191" s="276"/>
      <c r="L191" s="296">
        <v>97</v>
      </c>
      <c r="M191" s="296">
        <f>IF(L191&lt;=B.2!$G$41,B.2!$H$41,IF(AND(L191&lt;=B.2!$G$40,L191&gt;B.2!$G$41),0+((B.2!$H$41-B.2!$H$40)/(B.2!$G$41-B.2!$G$40))*(L191-B.2!$G$40),0))</f>
        <v>26.086956521739129</v>
      </c>
      <c r="N191" s="276"/>
      <c r="O191" s="296"/>
      <c r="P191" s="296"/>
      <c r="Q191" s="276"/>
      <c r="R191" s="295"/>
      <c r="S191" s="420"/>
      <c r="T191" s="297"/>
      <c r="U191" s="297"/>
      <c r="V191" s="420"/>
      <c r="W191" s="297"/>
      <c r="X191" s="297"/>
      <c r="Y191" s="420"/>
      <c r="Z191" s="297"/>
      <c r="AA191" s="297"/>
      <c r="AB191" s="420"/>
      <c r="AC191" s="297">
        <v>97</v>
      </c>
      <c r="AD191" s="297">
        <f>IF(AC191&lt;=B.2!$L$41,B.2!$M$41,IF(AND(AC191&lt;=B.2!$L$40,AC191&gt;B.2!$L$41),0+((B.2!$M$41-B.2!$M$40)/(B.2!$L$41-B.2!$L$40))*(AC191-B.2!$L$40),0))</f>
        <v>57.087378640776699</v>
      </c>
      <c r="AE191" s="420"/>
      <c r="AF191" s="297"/>
      <c r="AG191" s="297"/>
      <c r="AH191" s="146"/>
    </row>
    <row r="192" spans="2:34">
      <c r="B192" s="145"/>
      <c r="C192" s="296"/>
      <c r="D192" s="296"/>
      <c r="E192" s="276"/>
      <c r="F192" s="296"/>
      <c r="G192" s="296"/>
      <c r="H192" s="276"/>
      <c r="I192" s="296"/>
      <c r="J192" s="296"/>
      <c r="K192" s="276"/>
      <c r="L192" s="296">
        <v>98</v>
      </c>
      <c r="M192" s="296">
        <f>IF(L192&lt;=B.2!$G$41,B.2!$H$41,IF(AND(L192&lt;=B.2!$G$40,L192&gt;B.2!$G$41),0+((B.2!$H$41-B.2!$H$40)/(B.2!$G$41-B.2!$G$40))*(L192-B.2!$G$40),0))</f>
        <v>24.34782608695652</v>
      </c>
      <c r="N192" s="276"/>
      <c r="O192" s="296"/>
      <c r="P192" s="296"/>
      <c r="Q192" s="276"/>
      <c r="R192" s="295"/>
      <c r="S192" s="420"/>
      <c r="T192" s="297"/>
      <c r="U192" s="297"/>
      <c r="V192" s="420"/>
      <c r="W192" s="297"/>
      <c r="X192" s="297"/>
      <c r="Y192" s="420"/>
      <c r="Z192" s="297"/>
      <c r="AA192" s="297"/>
      <c r="AB192" s="420"/>
      <c r="AC192" s="297">
        <v>98</v>
      </c>
      <c r="AD192" s="297">
        <f>IF(AC192&lt;=B.2!$L$41,B.2!$M$41,IF(AND(AC192&lt;=B.2!$L$40,AC192&gt;B.2!$L$41),0+((B.2!$M$41-B.2!$M$40)/(B.2!$L$41-B.2!$L$40))*(AC192-B.2!$L$40),0))</f>
        <v>55.922330097087375</v>
      </c>
      <c r="AE192" s="420"/>
      <c r="AF192" s="297"/>
      <c r="AG192" s="297"/>
      <c r="AH192" s="146"/>
    </row>
    <row r="193" spans="2:34">
      <c r="B193" s="145"/>
      <c r="C193" s="296"/>
      <c r="D193" s="296"/>
      <c r="E193" s="276"/>
      <c r="F193" s="296"/>
      <c r="G193" s="296"/>
      <c r="H193" s="276"/>
      <c r="I193" s="296"/>
      <c r="J193" s="296"/>
      <c r="K193" s="276"/>
      <c r="L193" s="296">
        <v>99</v>
      </c>
      <c r="M193" s="296">
        <f>IF(L193&lt;=B.2!$G$41,B.2!$H$41,IF(AND(L193&lt;=B.2!$G$40,L193&gt;B.2!$G$41),0+((B.2!$H$41-B.2!$H$40)/(B.2!$G$41-B.2!$G$40))*(L193-B.2!$G$40),0))</f>
        <v>22.608695652173914</v>
      </c>
      <c r="N193" s="276"/>
      <c r="O193" s="296"/>
      <c r="P193" s="296"/>
      <c r="Q193" s="276"/>
      <c r="R193" s="295"/>
      <c r="S193" s="420"/>
      <c r="T193" s="297"/>
      <c r="U193" s="297"/>
      <c r="V193" s="420"/>
      <c r="W193" s="297"/>
      <c r="X193" s="297"/>
      <c r="Y193" s="420"/>
      <c r="Z193" s="297"/>
      <c r="AA193" s="297"/>
      <c r="AB193" s="420"/>
      <c r="AC193" s="297">
        <v>99</v>
      </c>
      <c r="AD193" s="297">
        <f>IF(AC193&lt;=B.2!$L$41,B.2!$M$41,IF(AND(AC193&lt;=B.2!$L$40,AC193&gt;B.2!$L$41),0+((B.2!$M$41-B.2!$M$40)/(B.2!$L$41-B.2!$L$40))*(AC193-B.2!$L$40),0))</f>
        <v>54.757281553398052</v>
      </c>
      <c r="AE193" s="420"/>
      <c r="AF193" s="297"/>
      <c r="AG193" s="297"/>
      <c r="AH193" s="146"/>
    </row>
    <row r="194" spans="2:34">
      <c r="B194" s="145"/>
      <c r="C194" s="296"/>
      <c r="D194" s="296"/>
      <c r="E194" s="276"/>
      <c r="F194" s="296"/>
      <c r="G194" s="296"/>
      <c r="H194" s="276"/>
      <c r="I194" s="296"/>
      <c r="J194" s="296"/>
      <c r="K194" s="276"/>
      <c r="L194" s="296">
        <v>100</v>
      </c>
      <c r="M194" s="296">
        <f>IF(L194&lt;=B.2!$G$41,B.2!$H$41,IF(AND(L194&lt;=B.2!$G$40,L194&gt;B.2!$G$41),0+((B.2!$H$41-B.2!$H$40)/(B.2!$G$41-B.2!$G$40))*(L194-B.2!$G$40),0))</f>
        <v>20.869565217391305</v>
      </c>
      <c r="N194" s="276"/>
      <c r="O194" s="296"/>
      <c r="P194" s="296"/>
      <c r="Q194" s="276"/>
      <c r="R194" s="295"/>
      <c r="S194" s="420"/>
      <c r="T194" s="297"/>
      <c r="U194" s="297"/>
      <c r="V194" s="420"/>
      <c r="W194" s="297"/>
      <c r="X194" s="297"/>
      <c r="Y194" s="420"/>
      <c r="Z194" s="297"/>
      <c r="AA194" s="297"/>
      <c r="AB194" s="420"/>
      <c r="AC194" s="297">
        <v>100</v>
      </c>
      <c r="AD194" s="297">
        <f>IF(AC194&lt;=B.2!$L$41,B.2!$M$41,IF(AND(AC194&lt;=B.2!$L$40,AC194&gt;B.2!$L$41),0+((B.2!$M$41-B.2!$M$40)/(B.2!$L$41-B.2!$L$40))*(AC194-B.2!$L$40),0))</f>
        <v>53.592233009708735</v>
      </c>
      <c r="AE194" s="420"/>
      <c r="AF194" s="297"/>
      <c r="AG194" s="297"/>
      <c r="AH194" s="146"/>
    </row>
    <row r="195" spans="2:34">
      <c r="B195" s="145"/>
      <c r="C195" s="276"/>
      <c r="D195" s="276"/>
      <c r="E195" s="276"/>
      <c r="F195" s="276"/>
      <c r="G195" s="276"/>
      <c r="H195" s="276"/>
      <c r="I195" s="276"/>
      <c r="J195" s="276"/>
      <c r="K195" s="276"/>
      <c r="L195" s="296">
        <v>101</v>
      </c>
      <c r="M195" s="296">
        <f>IF(L195&lt;=B.2!$G$41,B.2!$H$41,IF(AND(L195&lt;=B.2!$G$40,L195&gt;B.2!$G$41),0+((B.2!$H$41-B.2!$H$40)/(B.2!$G$41-B.2!$G$40))*(L195-B.2!$G$40),0))</f>
        <v>19.130434782608695</v>
      </c>
      <c r="N195" s="276"/>
      <c r="O195" s="276"/>
      <c r="P195" s="276"/>
      <c r="Q195" s="276"/>
      <c r="R195" s="295"/>
      <c r="S195" s="420"/>
      <c r="T195" s="420"/>
      <c r="U195" s="420"/>
      <c r="V195" s="420"/>
      <c r="W195" s="420"/>
      <c r="X195" s="420"/>
      <c r="Y195" s="420"/>
      <c r="Z195" s="420"/>
      <c r="AA195" s="420"/>
      <c r="AB195" s="420"/>
      <c r="AC195" s="423">
        <v>101</v>
      </c>
      <c r="AD195" s="297">
        <f>IF(AC195&lt;=B.2!$L$41,B.2!$M$41,IF(AND(AC195&lt;=B.2!$L$40,AC195&gt;B.2!$L$41),0+((B.2!$M$41-B.2!$M$40)/(B.2!$L$41-B.2!$L$40))*(AC195-B.2!$L$40),0))</f>
        <v>52.427184466019412</v>
      </c>
      <c r="AE195" s="420"/>
      <c r="AF195" s="420"/>
      <c r="AG195" s="420"/>
      <c r="AH195" s="146"/>
    </row>
    <row r="196" spans="2:34">
      <c r="B196" s="145"/>
      <c r="C196" s="276"/>
      <c r="D196" s="276"/>
      <c r="E196" s="276"/>
      <c r="F196" s="276"/>
      <c r="G196" s="276"/>
      <c r="H196" s="276"/>
      <c r="I196" s="276"/>
      <c r="J196" s="276"/>
      <c r="K196" s="276"/>
      <c r="L196" s="296">
        <v>102</v>
      </c>
      <c r="M196" s="296">
        <f>IF(L196&lt;=B.2!$G$41,B.2!$H$41,IF(AND(L196&lt;=B.2!$G$40,L196&gt;B.2!$G$41),0+((B.2!$H$41-B.2!$H$40)/(B.2!$G$41-B.2!$G$40))*(L196-B.2!$G$40),0))</f>
        <v>17.391304347826086</v>
      </c>
      <c r="N196" s="276"/>
      <c r="O196" s="276"/>
      <c r="P196" s="276"/>
      <c r="Q196" s="276"/>
      <c r="R196" s="295"/>
      <c r="S196" s="420"/>
      <c r="T196" s="420"/>
      <c r="U196" s="420"/>
      <c r="V196" s="420"/>
      <c r="W196" s="420"/>
      <c r="X196" s="420"/>
      <c r="Y196" s="420"/>
      <c r="Z196" s="420"/>
      <c r="AA196" s="420"/>
      <c r="AB196" s="420"/>
      <c r="AC196" s="423">
        <v>102</v>
      </c>
      <c r="AD196" s="297">
        <f>IF(AC196&lt;=B.2!$L$41,B.2!$M$41,IF(AND(AC196&lt;=B.2!$L$40,AC196&gt;B.2!$L$41),0+((B.2!$M$41-B.2!$M$40)/(B.2!$L$41-B.2!$L$40))*(AC196-B.2!$L$40),0))</f>
        <v>51.262135922330096</v>
      </c>
      <c r="AE196" s="420"/>
      <c r="AF196" s="420"/>
      <c r="AG196" s="420"/>
      <c r="AH196" s="146"/>
    </row>
    <row r="197" spans="2:34">
      <c r="B197" s="145"/>
      <c r="C197" s="276"/>
      <c r="D197" s="276"/>
      <c r="E197" s="276"/>
      <c r="F197" s="276"/>
      <c r="G197" s="276"/>
      <c r="H197" s="276"/>
      <c r="I197" s="276"/>
      <c r="J197" s="276"/>
      <c r="K197" s="276"/>
      <c r="L197" s="296">
        <v>103</v>
      </c>
      <c r="M197" s="296">
        <f>IF(L197&lt;=B.2!$G$41,B.2!$H$41,IF(AND(L197&lt;=B.2!$G$40,L197&gt;B.2!$G$41),0+((B.2!$H$41-B.2!$H$40)/(B.2!$G$41-B.2!$G$40))*(L197-B.2!$G$40),0))</f>
        <v>15.652173913043478</v>
      </c>
      <c r="N197" s="276"/>
      <c r="O197" s="276"/>
      <c r="P197" s="276"/>
      <c r="Q197" s="276"/>
      <c r="R197" s="295"/>
      <c r="S197" s="420"/>
      <c r="T197" s="420"/>
      <c r="U197" s="420"/>
      <c r="V197" s="420"/>
      <c r="W197" s="420"/>
      <c r="X197" s="420"/>
      <c r="Y197" s="420"/>
      <c r="Z197" s="420"/>
      <c r="AA197" s="420"/>
      <c r="AB197" s="420"/>
      <c r="AC197" s="423">
        <v>103</v>
      </c>
      <c r="AD197" s="297">
        <f>IF(AC197&lt;=B.2!$L$41,B.2!$M$41,IF(AND(AC197&lt;=B.2!$L$40,AC197&gt;B.2!$L$41),0+((B.2!$M$41-B.2!$M$40)/(B.2!$L$41-B.2!$L$40))*(AC197-B.2!$L$40),0))</f>
        <v>50.097087378640772</v>
      </c>
      <c r="AE197" s="420"/>
      <c r="AF197" s="420"/>
      <c r="AG197" s="420"/>
      <c r="AH197" s="146"/>
    </row>
    <row r="198" spans="2:34">
      <c r="B198" s="145"/>
      <c r="C198" s="276"/>
      <c r="D198" s="276"/>
      <c r="E198" s="276"/>
      <c r="F198" s="276"/>
      <c r="G198" s="276"/>
      <c r="H198" s="276"/>
      <c r="I198" s="276"/>
      <c r="J198" s="276"/>
      <c r="K198" s="276"/>
      <c r="L198" s="424">
        <v>104</v>
      </c>
      <c r="M198" s="296">
        <f>IF(L198&lt;=B.2!$G$41,B.2!$H$41,IF(AND(L198&lt;=B.2!$G$40,L198&gt;B.2!$G$41),0+((B.2!$H$41-B.2!$H$40)/(B.2!$G$41-B.2!$G$40))*(L198-B.2!$G$40),0))</f>
        <v>13.913043478260869</v>
      </c>
      <c r="N198" s="276"/>
      <c r="O198" s="276"/>
      <c r="P198" s="276"/>
      <c r="Q198" s="276"/>
      <c r="R198" s="295"/>
      <c r="S198" s="420"/>
      <c r="T198" s="420"/>
      <c r="U198" s="420"/>
      <c r="V198" s="420"/>
      <c r="W198" s="420"/>
      <c r="X198" s="420"/>
      <c r="Y198" s="420"/>
      <c r="Z198" s="420"/>
      <c r="AA198" s="420"/>
      <c r="AB198" s="420"/>
      <c r="AC198" s="423">
        <v>104</v>
      </c>
      <c r="AD198" s="297">
        <f>IF(AC198&lt;=B.2!$L$41,B.2!$M$41,IF(AND(AC198&lt;=B.2!$L$40,AC198&gt;B.2!$L$41),0+((B.2!$M$41-B.2!$M$40)/(B.2!$L$41-B.2!$L$40))*(AC198-B.2!$L$40),0))</f>
        <v>48.932038834951456</v>
      </c>
      <c r="AE198" s="420"/>
      <c r="AF198" s="420"/>
      <c r="AG198" s="420"/>
      <c r="AH198" s="146"/>
    </row>
    <row r="199" spans="2:34">
      <c r="B199" s="145"/>
      <c r="C199" s="276"/>
      <c r="D199" s="276"/>
      <c r="E199" s="276"/>
      <c r="F199" s="276"/>
      <c r="G199" s="276"/>
      <c r="H199" s="276"/>
      <c r="I199" s="276"/>
      <c r="J199" s="276"/>
      <c r="K199" s="276"/>
      <c r="L199" s="424">
        <v>105</v>
      </c>
      <c r="M199" s="296">
        <f>IF(L199&lt;=B.2!$G$41,B.2!$H$41,IF(AND(L199&lt;=B.2!$G$40,L199&gt;B.2!$G$41),0+((B.2!$H$41-B.2!$H$40)/(B.2!$G$41-B.2!$G$40))*(L199-B.2!$G$40),0))</f>
        <v>12.17391304347826</v>
      </c>
      <c r="N199" s="276"/>
      <c r="O199" s="276"/>
      <c r="P199" s="276"/>
      <c r="Q199" s="276"/>
      <c r="R199" s="295"/>
      <c r="S199" s="420"/>
      <c r="T199" s="420"/>
      <c r="U199" s="420"/>
      <c r="V199" s="420"/>
      <c r="W199" s="420"/>
      <c r="X199" s="420"/>
      <c r="Y199" s="420"/>
      <c r="Z199" s="420"/>
      <c r="AA199" s="420"/>
      <c r="AB199" s="420"/>
      <c r="AC199" s="423">
        <v>105</v>
      </c>
      <c r="AD199" s="297">
        <f>IF(AC199&lt;=B.2!$L$41,B.2!$M$41,IF(AND(AC199&lt;=B.2!$L$40,AC199&gt;B.2!$L$41),0+((B.2!$M$41-B.2!$M$40)/(B.2!$L$41-B.2!$L$40))*(AC199-B.2!$L$40),0))</f>
        <v>47.766990291262132</v>
      </c>
      <c r="AE199" s="420"/>
      <c r="AF199" s="420"/>
      <c r="AG199" s="420"/>
      <c r="AH199" s="146"/>
    </row>
    <row r="200" spans="2:34">
      <c r="B200" s="145"/>
      <c r="C200" s="276"/>
      <c r="D200" s="276"/>
      <c r="E200" s="276"/>
      <c r="F200" s="276"/>
      <c r="G200" s="276"/>
      <c r="H200" s="276"/>
      <c r="I200" s="276"/>
      <c r="J200" s="276"/>
      <c r="K200" s="276"/>
      <c r="L200" s="424">
        <v>106</v>
      </c>
      <c r="M200" s="296">
        <f>IF(L200&lt;=B.2!$G$41,B.2!$H$41,IF(AND(L200&lt;=B.2!$G$40,L200&gt;B.2!$G$41),0+((B.2!$H$41-B.2!$H$40)/(B.2!$G$41-B.2!$G$40))*(L200-B.2!$G$40),0))</f>
        <v>10.434782608695652</v>
      </c>
      <c r="N200" s="276"/>
      <c r="O200" s="276"/>
      <c r="P200" s="276"/>
      <c r="Q200" s="276"/>
      <c r="R200" s="295"/>
      <c r="S200" s="420"/>
      <c r="T200" s="420"/>
      <c r="U200" s="420"/>
      <c r="V200" s="420"/>
      <c r="W200" s="420"/>
      <c r="X200" s="420"/>
      <c r="Y200" s="420"/>
      <c r="Z200" s="420"/>
      <c r="AA200" s="420"/>
      <c r="AB200" s="420"/>
      <c r="AC200" s="423">
        <v>106</v>
      </c>
      <c r="AD200" s="297">
        <f>IF(AC200&lt;=B.2!$L$41,B.2!$M$41,IF(AND(AC200&lt;=B.2!$L$40,AC200&gt;B.2!$L$41),0+((B.2!$M$41-B.2!$M$40)/(B.2!$L$41-B.2!$L$40))*(AC200-B.2!$L$40),0))</f>
        <v>46.601941747572809</v>
      </c>
      <c r="AE200" s="420"/>
      <c r="AF200" s="420"/>
      <c r="AG200" s="420"/>
      <c r="AH200" s="146"/>
    </row>
    <row r="201" spans="2:34">
      <c r="B201" s="145"/>
      <c r="C201" s="276"/>
      <c r="D201" s="276"/>
      <c r="E201" s="276"/>
      <c r="F201" s="276"/>
      <c r="G201" s="276"/>
      <c r="H201" s="276"/>
      <c r="I201" s="276"/>
      <c r="J201" s="276"/>
      <c r="K201" s="276"/>
      <c r="L201" s="424">
        <v>107</v>
      </c>
      <c r="M201" s="296">
        <f>IF(L201&lt;=B.2!$G$41,B.2!$H$41,IF(AND(L201&lt;=B.2!$G$40,L201&gt;B.2!$G$41),0+((B.2!$H$41-B.2!$H$40)/(B.2!$G$41-B.2!$G$40))*(L201-B.2!$G$40),0))</f>
        <v>8.695652173913043</v>
      </c>
      <c r="N201" s="276"/>
      <c r="O201" s="276"/>
      <c r="P201" s="276"/>
      <c r="Q201" s="276"/>
      <c r="R201" s="295"/>
      <c r="S201" s="420"/>
      <c r="T201" s="420"/>
      <c r="U201" s="420"/>
      <c r="V201" s="420"/>
      <c r="W201" s="420"/>
      <c r="X201" s="420"/>
      <c r="Y201" s="420"/>
      <c r="Z201" s="420"/>
      <c r="AA201" s="420"/>
      <c r="AB201" s="420"/>
      <c r="AC201" s="423">
        <v>107</v>
      </c>
      <c r="AD201" s="297">
        <f>IF(AC201&lt;=B.2!$L$41,B.2!$M$41,IF(AND(AC201&lt;=B.2!$L$40,AC201&gt;B.2!$L$41),0+((B.2!$M$41-B.2!$M$40)/(B.2!$L$41-B.2!$L$40))*(AC201-B.2!$L$40),0))</f>
        <v>45.436893203883493</v>
      </c>
      <c r="AE201" s="420"/>
      <c r="AF201" s="420"/>
      <c r="AG201" s="420"/>
      <c r="AH201" s="146"/>
    </row>
    <row r="202" spans="2:34">
      <c r="B202" s="145"/>
      <c r="C202" s="276"/>
      <c r="D202" s="276"/>
      <c r="E202" s="276"/>
      <c r="F202" s="276"/>
      <c r="G202" s="276"/>
      <c r="H202" s="276"/>
      <c r="I202" s="276"/>
      <c r="J202" s="276"/>
      <c r="K202" s="276"/>
      <c r="L202" s="424">
        <v>108</v>
      </c>
      <c r="M202" s="296">
        <f>IF(L202&lt;=B.2!$G$41,B.2!$H$41,IF(AND(L202&lt;=B.2!$G$40,L202&gt;B.2!$G$41),0+((B.2!$H$41-B.2!$H$40)/(B.2!$G$41-B.2!$G$40))*(L202-B.2!$G$40),0))</f>
        <v>6.9565217391304346</v>
      </c>
      <c r="N202" s="276"/>
      <c r="O202" s="276"/>
      <c r="P202" s="276"/>
      <c r="Q202" s="276"/>
      <c r="R202" s="295"/>
      <c r="S202" s="420"/>
      <c r="T202" s="420"/>
      <c r="U202" s="420"/>
      <c r="V202" s="420"/>
      <c r="W202" s="420"/>
      <c r="X202" s="420"/>
      <c r="Y202" s="420"/>
      <c r="Z202" s="420"/>
      <c r="AA202" s="420"/>
      <c r="AB202" s="420"/>
      <c r="AC202" s="423">
        <v>108</v>
      </c>
      <c r="AD202" s="297">
        <f>IF(AC202&lt;=B.2!$L$41,B.2!$M$41,IF(AND(AC202&lt;=B.2!$L$40,AC202&gt;B.2!$L$41),0+((B.2!$M$41-B.2!$M$40)/(B.2!$L$41-B.2!$L$40))*(AC202-B.2!$L$40),0))</f>
        <v>44.271844660194169</v>
      </c>
      <c r="AE202" s="420"/>
      <c r="AF202" s="420"/>
      <c r="AG202" s="420"/>
      <c r="AH202" s="146"/>
    </row>
    <row r="203" spans="2:34">
      <c r="B203" s="145"/>
      <c r="C203" s="276"/>
      <c r="D203" s="276"/>
      <c r="E203" s="276"/>
      <c r="F203" s="276"/>
      <c r="G203" s="276"/>
      <c r="H203" s="276"/>
      <c r="I203" s="276"/>
      <c r="J203" s="276"/>
      <c r="K203" s="276"/>
      <c r="L203" s="424">
        <v>109</v>
      </c>
      <c r="M203" s="296">
        <f>IF(L203&lt;=B.2!$G$41,B.2!$H$41,IF(AND(L203&lt;=B.2!$G$40,L203&gt;B.2!$G$41),0+((B.2!$H$41-B.2!$H$40)/(B.2!$G$41-B.2!$G$40))*(L203-B.2!$G$40),0))</f>
        <v>5.2173913043478262</v>
      </c>
      <c r="N203" s="276"/>
      <c r="O203" s="276"/>
      <c r="P203" s="276"/>
      <c r="Q203" s="276"/>
      <c r="R203" s="295"/>
      <c r="S203" s="420"/>
      <c r="T203" s="420"/>
      <c r="U203" s="420"/>
      <c r="V203" s="420"/>
      <c r="W203" s="420"/>
      <c r="X203" s="420"/>
      <c r="Y203" s="420"/>
      <c r="Z203" s="420"/>
      <c r="AA203" s="420"/>
      <c r="AB203" s="420"/>
      <c r="AC203" s="423">
        <v>109</v>
      </c>
      <c r="AD203" s="297">
        <f>IF(AC203&lt;=B.2!$L$41,B.2!$M$41,IF(AND(AC203&lt;=B.2!$L$40,AC203&gt;B.2!$L$41),0+((B.2!$M$41-B.2!$M$40)/(B.2!$L$41-B.2!$L$40))*(AC203-B.2!$L$40),0))</f>
        <v>43.106796116504853</v>
      </c>
      <c r="AE203" s="420"/>
      <c r="AF203" s="420"/>
      <c r="AG203" s="420"/>
      <c r="AH203" s="146"/>
    </row>
    <row r="204" spans="2:34">
      <c r="B204" s="145"/>
      <c r="C204" s="276"/>
      <c r="D204" s="276"/>
      <c r="E204" s="276"/>
      <c r="F204" s="276"/>
      <c r="G204" s="276"/>
      <c r="H204" s="276"/>
      <c r="I204" s="276"/>
      <c r="J204" s="276"/>
      <c r="K204" s="276"/>
      <c r="L204" s="424">
        <v>110</v>
      </c>
      <c r="M204" s="296">
        <f>IF(L204&lt;=B.2!$G$41,B.2!$H$41,IF(AND(L204&lt;=B.2!$G$40,L204&gt;B.2!$G$41),0+((B.2!$H$41-B.2!$H$40)/(B.2!$G$41-B.2!$G$40))*(L204-B.2!$G$40),0))</f>
        <v>3.4782608695652173</v>
      </c>
      <c r="N204" s="276"/>
      <c r="O204" s="276"/>
      <c r="P204" s="276"/>
      <c r="Q204" s="276"/>
      <c r="R204" s="295"/>
      <c r="S204" s="420"/>
      <c r="T204" s="420"/>
      <c r="U204" s="420"/>
      <c r="V204" s="420"/>
      <c r="W204" s="420"/>
      <c r="X204" s="420"/>
      <c r="Y204" s="420"/>
      <c r="Z204" s="420"/>
      <c r="AA204" s="420"/>
      <c r="AB204" s="420"/>
      <c r="AC204" s="423">
        <v>110</v>
      </c>
      <c r="AD204" s="297">
        <f>IF(AC204&lt;=B.2!$L$41,B.2!$M$41,IF(AND(AC204&lt;=B.2!$L$40,AC204&gt;B.2!$L$41),0+((B.2!$M$41-B.2!$M$40)/(B.2!$L$41-B.2!$L$40))*(AC204-B.2!$L$40),0))</f>
        <v>41.94174757281553</v>
      </c>
      <c r="AE204" s="420"/>
      <c r="AF204" s="420"/>
      <c r="AG204" s="420"/>
      <c r="AH204" s="146"/>
    </row>
    <row r="205" spans="2:34">
      <c r="B205" s="145"/>
      <c r="C205" s="276"/>
      <c r="D205" s="276"/>
      <c r="E205" s="276"/>
      <c r="F205" s="276"/>
      <c r="G205" s="276"/>
      <c r="H205" s="276"/>
      <c r="I205" s="276"/>
      <c r="J205" s="276"/>
      <c r="K205" s="276"/>
      <c r="L205" s="424">
        <v>111</v>
      </c>
      <c r="M205" s="296">
        <f>IF(L205&lt;=B.2!$G$41,B.2!$H$41,IF(AND(L205&lt;=B.2!$G$40,L205&gt;B.2!$G$41),0+((B.2!$H$41-B.2!$H$40)/(B.2!$G$41-B.2!$G$40))*(L205-B.2!$G$40),0))</f>
        <v>1.7391304347826086</v>
      </c>
      <c r="N205" s="276"/>
      <c r="O205" s="276"/>
      <c r="P205" s="276"/>
      <c r="Q205" s="276"/>
      <c r="R205" s="295"/>
      <c r="S205" s="420"/>
      <c r="T205" s="420"/>
      <c r="U205" s="420"/>
      <c r="V205" s="420"/>
      <c r="W205" s="420"/>
      <c r="X205" s="420"/>
      <c r="Y205" s="420"/>
      <c r="Z205" s="420"/>
      <c r="AA205" s="420"/>
      <c r="AB205" s="420"/>
      <c r="AC205" s="423">
        <v>111</v>
      </c>
      <c r="AD205" s="297">
        <f>IF(AC205&lt;=B.2!$L$41,B.2!$M$41,IF(AND(AC205&lt;=B.2!$L$40,AC205&gt;B.2!$L$41),0+((B.2!$M$41-B.2!$M$40)/(B.2!$L$41-B.2!$L$40))*(AC205-B.2!$L$40),0))</f>
        <v>40.776699029126213</v>
      </c>
      <c r="AE205" s="420"/>
      <c r="AF205" s="420"/>
      <c r="AG205" s="420"/>
      <c r="AH205" s="146"/>
    </row>
    <row r="206" spans="2:34">
      <c r="B206" s="145"/>
      <c r="C206" s="276"/>
      <c r="D206" s="276"/>
      <c r="E206" s="276"/>
      <c r="F206" s="276"/>
      <c r="G206" s="276"/>
      <c r="H206" s="276"/>
      <c r="I206" s="276"/>
      <c r="J206" s="276"/>
      <c r="K206" s="276"/>
      <c r="L206" s="424">
        <v>112</v>
      </c>
      <c r="M206" s="296">
        <f>IF(L206&lt;=B.2!$G$41,B.2!$H$41,IF(AND(L206&lt;=B.2!$G$40,L206&gt;B.2!$G$41),0+((B.2!$H$41-B.2!$H$40)/(B.2!$G$41-B.2!$G$40))*(L206-B.2!$G$40),0))</f>
        <v>0</v>
      </c>
      <c r="N206" s="276"/>
      <c r="O206" s="276"/>
      <c r="P206" s="276"/>
      <c r="Q206" s="276"/>
      <c r="R206" s="295"/>
      <c r="S206" s="420"/>
      <c r="T206" s="420"/>
      <c r="U206" s="420"/>
      <c r="V206" s="420"/>
      <c r="W206" s="420"/>
      <c r="X206" s="420"/>
      <c r="Y206" s="420"/>
      <c r="Z206" s="420"/>
      <c r="AA206" s="420"/>
      <c r="AB206" s="420"/>
      <c r="AC206" s="423">
        <v>112</v>
      </c>
      <c r="AD206" s="297">
        <f>IF(AC206&lt;=B.2!$L$41,B.2!$M$41,IF(AND(AC206&lt;=B.2!$L$40,AC206&gt;B.2!$L$41),0+((B.2!$M$41-B.2!$M$40)/(B.2!$L$41-B.2!$L$40))*(AC206-B.2!$L$40),0))</f>
        <v>39.61165048543689</v>
      </c>
      <c r="AE206" s="420"/>
      <c r="AF206" s="420"/>
      <c r="AG206" s="420"/>
      <c r="AH206" s="146"/>
    </row>
    <row r="207" spans="2:34">
      <c r="B207" s="145"/>
      <c r="C207" s="276"/>
      <c r="D207" s="276"/>
      <c r="E207" s="276"/>
      <c r="F207" s="276"/>
      <c r="G207" s="276"/>
      <c r="H207" s="276"/>
      <c r="I207" s="276"/>
      <c r="J207" s="276"/>
      <c r="K207" s="276"/>
      <c r="L207" s="424">
        <v>113</v>
      </c>
      <c r="M207" s="296">
        <f>IF(L207&lt;=B.2!$G$41,B.2!$H$41,IF(AND(L207&lt;=B.2!$G$40,L207&gt;B.2!$G$41),0+((B.2!$H$41-B.2!$H$40)/(B.2!$G$41-B.2!$G$40))*(L207-B.2!$G$40),0))</f>
        <v>0</v>
      </c>
      <c r="N207" s="276"/>
      <c r="O207" s="276"/>
      <c r="P207" s="276"/>
      <c r="Q207" s="276"/>
      <c r="R207" s="295"/>
      <c r="S207" s="420"/>
      <c r="T207" s="420"/>
      <c r="U207" s="420"/>
      <c r="V207" s="420"/>
      <c r="W207" s="420"/>
      <c r="X207" s="420"/>
      <c r="Y207" s="420"/>
      <c r="Z207" s="420"/>
      <c r="AA207" s="420"/>
      <c r="AB207" s="420"/>
      <c r="AC207" s="423">
        <v>113</v>
      </c>
      <c r="AD207" s="297">
        <f>IF(AC207&lt;=B.2!$L$41,B.2!$M$41,IF(AND(AC207&lt;=B.2!$L$40,AC207&gt;B.2!$L$41),0+((B.2!$M$41-B.2!$M$40)/(B.2!$L$41-B.2!$L$40))*(AC207-B.2!$L$40),0))</f>
        <v>38.446601941747574</v>
      </c>
      <c r="AE207" s="420"/>
      <c r="AF207" s="420"/>
      <c r="AG207" s="420"/>
      <c r="AH207" s="146"/>
    </row>
    <row r="208" spans="2:34">
      <c r="B208" s="145"/>
      <c r="C208" s="276"/>
      <c r="D208" s="276"/>
      <c r="E208" s="276"/>
      <c r="F208" s="276"/>
      <c r="G208" s="276"/>
      <c r="H208" s="276"/>
      <c r="I208" s="276"/>
      <c r="J208" s="276"/>
      <c r="K208" s="276"/>
      <c r="L208" s="424">
        <v>114</v>
      </c>
      <c r="M208" s="296">
        <f>IF(L208&lt;=B.2!$G$41,B.2!$H$41,IF(AND(L208&lt;=B.2!$G$40,L208&gt;B.2!$G$41),0+((B.2!$H$41-B.2!$H$40)/(B.2!$G$41-B.2!$G$40))*(L208-B.2!$G$40),0))</f>
        <v>0</v>
      </c>
      <c r="N208" s="276"/>
      <c r="O208" s="276"/>
      <c r="P208" s="276"/>
      <c r="Q208" s="276"/>
      <c r="R208" s="295"/>
      <c r="S208" s="420"/>
      <c r="T208" s="420"/>
      <c r="U208" s="420"/>
      <c r="V208" s="420"/>
      <c r="W208" s="420"/>
      <c r="X208" s="420"/>
      <c r="Y208" s="420"/>
      <c r="Z208" s="420"/>
      <c r="AA208" s="420"/>
      <c r="AB208" s="420"/>
      <c r="AC208" s="423">
        <v>114</v>
      </c>
      <c r="AD208" s="297">
        <f>IF(AC208&lt;=B.2!$L$41,B.2!$M$41,IF(AND(AC208&lt;=B.2!$L$40,AC208&gt;B.2!$L$41),0+((B.2!$M$41-B.2!$M$40)/(B.2!$L$41-B.2!$L$40))*(AC208-B.2!$L$40),0))</f>
        <v>37.28155339805825</v>
      </c>
      <c r="AE208" s="420"/>
      <c r="AF208" s="420"/>
      <c r="AG208" s="420"/>
      <c r="AH208" s="146"/>
    </row>
    <row r="209" spans="2:34">
      <c r="B209" s="145"/>
      <c r="C209" s="276"/>
      <c r="D209" s="276"/>
      <c r="E209" s="276"/>
      <c r="F209" s="276"/>
      <c r="G209" s="276"/>
      <c r="H209" s="276"/>
      <c r="I209" s="276"/>
      <c r="J209" s="276"/>
      <c r="K209" s="276"/>
      <c r="L209" s="424">
        <v>115</v>
      </c>
      <c r="M209" s="296">
        <f>IF(L209&lt;=B.2!$G$41,B.2!$H$41,IF(AND(L209&lt;=B.2!$G$40,L209&gt;B.2!$G$41),0+((B.2!$H$41-B.2!$H$40)/(B.2!$G$41-B.2!$G$40))*(L209-B.2!$G$40),0))</f>
        <v>0</v>
      </c>
      <c r="N209" s="276"/>
      <c r="O209" s="276"/>
      <c r="P209" s="276"/>
      <c r="Q209" s="276"/>
      <c r="R209" s="295"/>
      <c r="S209" s="420"/>
      <c r="T209" s="420"/>
      <c r="U209" s="420"/>
      <c r="V209" s="420"/>
      <c r="W209" s="420"/>
      <c r="X209" s="420"/>
      <c r="Y209" s="420"/>
      <c r="Z209" s="420"/>
      <c r="AA209" s="420"/>
      <c r="AB209" s="420"/>
      <c r="AC209" s="423">
        <v>115</v>
      </c>
      <c r="AD209" s="297">
        <f>IF(AC209&lt;=B.2!$L$41,B.2!$M$41,IF(AND(AC209&lt;=B.2!$L$40,AC209&gt;B.2!$L$41),0+((B.2!$M$41-B.2!$M$40)/(B.2!$L$41-B.2!$L$40))*(AC209-B.2!$L$40),0))</f>
        <v>36.116504854368927</v>
      </c>
      <c r="AE209" s="420"/>
      <c r="AF209" s="420"/>
      <c r="AG209" s="420"/>
      <c r="AH209" s="146"/>
    </row>
    <row r="210" spans="2:34">
      <c r="B210" s="145"/>
      <c r="C210" s="276"/>
      <c r="D210" s="276"/>
      <c r="E210" s="276"/>
      <c r="F210" s="276"/>
      <c r="G210" s="276"/>
      <c r="H210" s="276"/>
      <c r="I210" s="276"/>
      <c r="J210" s="276"/>
      <c r="K210" s="276"/>
      <c r="L210" s="424">
        <v>116</v>
      </c>
      <c r="M210" s="296">
        <f>IF(L210&lt;=B.2!$G$41,B.2!$H$41,IF(AND(L210&lt;=B.2!$G$40,L210&gt;B.2!$G$41),0+((B.2!$H$41-B.2!$H$40)/(B.2!$G$41-B.2!$G$40))*(L210-B.2!$G$40),0))</f>
        <v>0</v>
      </c>
      <c r="N210" s="276"/>
      <c r="O210" s="276"/>
      <c r="P210" s="276"/>
      <c r="Q210" s="276"/>
      <c r="R210" s="295"/>
      <c r="S210" s="420"/>
      <c r="T210" s="420"/>
      <c r="U210" s="420"/>
      <c r="V210" s="420"/>
      <c r="W210" s="420"/>
      <c r="X210" s="420"/>
      <c r="Y210" s="420"/>
      <c r="Z210" s="420"/>
      <c r="AA210" s="420"/>
      <c r="AB210" s="420"/>
      <c r="AC210" s="423">
        <v>116</v>
      </c>
      <c r="AD210" s="297">
        <f>IF(AC210&lt;=B.2!$L$41,B.2!$M$41,IF(AND(AC210&lt;=B.2!$L$40,AC210&gt;B.2!$L$41),0+((B.2!$M$41-B.2!$M$40)/(B.2!$L$41-B.2!$L$40))*(AC210-B.2!$L$40),0))</f>
        <v>34.95145631067961</v>
      </c>
      <c r="AE210" s="420"/>
      <c r="AF210" s="420"/>
      <c r="AG210" s="420"/>
      <c r="AH210" s="146"/>
    </row>
    <row r="211" spans="2:34">
      <c r="B211" s="145"/>
      <c r="C211" s="276"/>
      <c r="D211" s="276"/>
      <c r="E211" s="276"/>
      <c r="F211" s="276"/>
      <c r="G211" s="276"/>
      <c r="H211" s="276"/>
      <c r="I211" s="276"/>
      <c r="J211" s="276"/>
      <c r="K211" s="276"/>
      <c r="L211" s="424">
        <v>117</v>
      </c>
      <c r="M211" s="296">
        <f>IF(L211&lt;=B.2!$G$41,B.2!$H$41,IF(AND(L211&lt;=B.2!$G$40,L211&gt;B.2!$G$41),0+((B.2!$H$41-B.2!$H$40)/(B.2!$G$41-B.2!$G$40))*(L211-B.2!$G$40),0))</f>
        <v>0</v>
      </c>
      <c r="N211" s="276"/>
      <c r="O211" s="276"/>
      <c r="P211" s="276"/>
      <c r="Q211" s="276"/>
      <c r="R211" s="295"/>
      <c r="S211" s="420"/>
      <c r="T211" s="420"/>
      <c r="U211" s="420"/>
      <c r="V211" s="420"/>
      <c r="W211" s="420"/>
      <c r="X211" s="420"/>
      <c r="Y211" s="420"/>
      <c r="Z211" s="420"/>
      <c r="AA211" s="420"/>
      <c r="AB211" s="420"/>
      <c r="AC211" s="423">
        <v>117</v>
      </c>
      <c r="AD211" s="297">
        <f>IF(AC211&lt;=B.2!$L$41,B.2!$M$41,IF(AND(AC211&lt;=B.2!$L$40,AC211&gt;B.2!$L$41),0+((B.2!$M$41-B.2!$M$40)/(B.2!$L$41-B.2!$L$40))*(AC211-B.2!$L$40),0))</f>
        <v>33.786407766990287</v>
      </c>
      <c r="AE211" s="420"/>
      <c r="AF211" s="420"/>
      <c r="AG211" s="420"/>
      <c r="AH211" s="146"/>
    </row>
    <row r="212" spans="2:34">
      <c r="B212" s="145"/>
      <c r="C212" s="276"/>
      <c r="D212" s="276"/>
      <c r="E212" s="276"/>
      <c r="F212" s="276"/>
      <c r="G212" s="276"/>
      <c r="H212" s="276"/>
      <c r="I212" s="276"/>
      <c r="J212" s="276"/>
      <c r="K212" s="276"/>
      <c r="L212" s="424">
        <v>118</v>
      </c>
      <c r="M212" s="296">
        <f>IF(L212&lt;=B.2!$G$41,B.2!$H$41,IF(AND(L212&lt;=B.2!$G$40,L212&gt;B.2!$G$41),0+((B.2!$H$41-B.2!$H$40)/(B.2!$G$41-B.2!$G$40))*(L212-B.2!$G$40),0))</f>
        <v>0</v>
      </c>
      <c r="N212" s="276"/>
      <c r="O212" s="276"/>
      <c r="P212" s="276"/>
      <c r="Q212" s="276"/>
      <c r="R212" s="295"/>
      <c r="S212" s="420"/>
      <c r="T212" s="420"/>
      <c r="U212" s="420"/>
      <c r="V212" s="420"/>
      <c r="W212" s="420"/>
      <c r="X212" s="420"/>
      <c r="Y212" s="420"/>
      <c r="Z212" s="420"/>
      <c r="AA212" s="420"/>
      <c r="AB212" s="420"/>
      <c r="AC212" s="423">
        <v>118</v>
      </c>
      <c r="AD212" s="297">
        <f>IF(AC212&lt;=B.2!$L$41,B.2!$M$41,IF(AND(AC212&lt;=B.2!$L$40,AC212&gt;B.2!$L$41),0+((B.2!$M$41-B.2!$M$40)/(B.2!$L$41-B.2!$L$40))*(AC212-B.2!$L$40),0))</f>
        <v>32.621359223300971</v>
      </c>
      <c r="AE212" s="420"/>
      <c r="AF212" s="420"/>
      <c r="AG212" s="420"/>
      <c r="AH212" s="146"/>
    </row>
    <row r="213" spans="2:34">
      <c r="B213" s="145"/>
      <c r="C213" s="276"/>
      <c r="D213" s="276"/>
      <c r="E213" s="276"/>
      <c r="F213" s="276"/>
      <c r="G213" s="276"/>
      <c r="H213" s="276"/>
      <c r="I213" s="276"/>
      <c r="J213" s="276"/>
      <c r="K213" s="276"/>
      <c r="L213" s="424">
        <v>119</v>
      </c>
      <c r="M213" s="296">
        <f>IF(L213&lt;=B.2!$G$41,B.2!$H$41,IF(AND(L213&lt;=B.2!$G$40,L213&gt;B.2!$G$41),0+((B.2!$H$41-B.2!$H$40)/(B.2!$G$41-B.2!$G$40))*(L213-B.2!$G$40),0))</f>
        <v>0</v>
      </c>
      <c r="N213" s="276"/>
      <c r="O213" s="276"/>
      <c r="P213" s="276"/>
      <c r="Q213" s="276"/>
      <c r="R213" s="295"/>
      <c r="S213" s="420"/>
      <c r="T213" s="420"/>
      <c r="U213" s="420"/>
      <c r="V213" s="420"/>
      <c r="W213" s="420"/>
      <c r="X213" s="420"/>
      <c r="Y213" s="420"/>
      <c r="Z213" s="420"/>
      <c r="AA213" s="420"/>
      <c r="AB213" s="420"/>
      <c r="AC213" s="423">
        <v>119</v>
      </c>
      <c r="AD213" s="297">
        <f>IF(AC213&lt;=B.2!$L$41,B.2!$M$41,IF(AND(AC213&lt;=B.2!$L$40,AC213&gt;B.2!$L$41),0+((B.2!$M$41-B.2!$M$40)/(B.2!$L$41-B.2!$L$40))*(AC213-B.2!$L$40),0))</f>
        <v>31.456310679611647</v>
      </c>
      <c r="AE213" s="420"/>
      <c r="AF213" s="420"/>
      <c r="AG213" s="420"/>
      <c r="AH213" s="146"/>
    </row>
    <row r="214" spans="2:34">
      <c r="B214" s="145"/>
      <c r="C214" s="276"/>
      <c r="D214" s="276"/>
      <c r="E214" s="276"/>
      <c r="F214" s="276"/>
      <c r="G214" s="276"/>
      <c r="H214" s="276"/>
      <c r="I214" s="276"/>
      <c r="J214" s="276"/>
      <c r="K214" s="276"/>
      <c r="L214" s="424">
        <v>120</v>
      </c>
      <c r="M214" s="296">
        <f>IF(L214&lt;=B.2!$G$41,B.2!$H$41,IF(AND(L214&lt;=B.2!$G$40,L214&gt;B.2!$G$41),0+((B.2!$H$41-B.2!$H$40)/(B.2!$G$41-B.2!$G$40))*(L214-B.2!$G$40),0))</f>
        <v>0</v>
      </c>
      <c r="N214" s="276"/>
      <c r="O214" s="276"/>
      <c r="P214" s="276"/>
      <c r="Q214" s="276"/>
      <c r="R214" s="295"/>
      <c r="S214" s="420"/>
      <c r="T214" s="420"/>
      <c r="U214" s="420"/>
      <c r="V214" s="420"/>
      <c r="W214" s="420"/>
      <c r="X214" s="420"/>
      <c r="Y214" s="420"/>
      <c r="Z214" s="420"/>
      <c r="AA214" s="420"/>
      <c r="AB214" s="420"/>
      <c r="AC214" s="423">
        <v>120</v>
      </c>
      <c r="AD214" s="297">
        <f>IF(AC214&lt;=B.2!$L$41,B.2!$M$41,IF(AND(AC214&lt;=B.2!$L$40,AC214&gt;B.2!$L$41),0+((B.2!$M$41-B.2!$M$40)/(B.2!$L$41-B.2!$L$40))*(AC214-B.2!$L$40),0))</f>
        <v>30.291262135922327</v>
      </c>
      <c r="AE214" s="420"/>
      <c r="AF214" s="420"/>
      <c r="AG214" s="420"/>
      <c r="AH214" s="146"/>
    </row>
    <row r="215" spans="2:34">
      <c r="B215" s="145"/>
      <c r="C215" s="276"/>
      <c r="D215" s="276"/>
      <c r="E215" s="276"/>
      <c r="F215" s="276"/>
      <c r="G215" s="276"/>
      <c r="H215" s="276"/>
      <c r="I215" s="276"/>
      <c r="J215" s="276"/>
      <c r="K215" s="276"/>
      <c r="L215" s="424">
        <v>121</v>
      </c>
      <c r="M215" s="296">
        <f>IF(L215&lt;=B.2!$G$41,B.2!$H$41,IF(AND(L215&lt;=B.2!$G$40,L215&gt;B.2!$G$41),0+((B.2!$H$41-B.2!$H$40)/(B.2!$G$41-B.2!$G$40))*(L215-B.2!$G$40),0))</f>
        <v>0</v>
      </c>
      <c r="N215" s="276"/>
      <c r="O215" s="276"/>
      <c r="P215" s="276"/>
      <c r="Q215" s="276"/>
      <c r="R215" s="295"/>
      <c r="S215" s="420"/>
      <c r="T215" s="420"/>
      <c r="U215" s="420"/>
      <c r="V215" s="420"/>
      <c r="W215" s="420"/>
      <c r="X215" s="420"/>
      <c r="Y215" s="420"/>
      <c r="Z215" s="420"/>
      <c r="AA215" s="420"/>
      <c r="AB215" s="420"/>
      <c r="AC215" s="423">
        <v>121</v>
      </c>
      <c r="AD215" s="297">
        <f>IF(AC215&lt;=B.2!$L$41,B.2!$M$41,IF(AND(AC215&lt;=B.2!$L$40,AC215&gt;B.2!$L$41),0+((B.2!$M$41-B.2!$M$40)/(B.2!$L$41-B.2!$L$40))*(AC215-B.2!$L$40),0))</f>
        <v>29.126213592233007</v>
      </c>
      <c r="AE215" s="420"/>
      <c r="AF215" s="420"/>
      <c r="AG215" s="420"/>
      <c r="AH215" s="146"/>
    </row>
    <row r="216" spans="2:34">
      <c r="B216" s="145"/>
      <c r="C216" s="276"/>
      <c r="D216" s="276"/>
      <c r="E216" s="276"/>
      <c r="F216" s="276"/>
      <c r="G216" s="276"/>
      <c r="H216" s="276"/>
      <c r="I216" s="276"/>
      <c r="J216" s="276"/>
      <c r="K216" s="276"/>
      <c r="L216" s="424">
        <v>122</v>
      </c>
      <c r="M216" s="296">
        <f>IF(L216&lt;=B.2!$G$41,B.2!$H$41,IF(AND(L216&lt;=B.2!$G$40,L216&gt;B.2!$G$41),0+((B.2!$H$41-B.2!$H$40)/(B.2!$G$41-B.2!$G$40))*(L216-B.2!$G$40),0))</f>
        <v>0</v>
      </c>
      <c r="N216" s="276"/>
      <c r="O216" s="276"/>
      <c r="P216" s="276"/>
      <c r="Q216" s="276"/>
      <c r="R216" s="295"/>
      <c r="S216" s="420"/>
      <c r="T216" s="420"/>
      <c r="U216" s="420"/>
      <c r="V216" s="420"/>
      <c r="W216" s="420"/>
      <c r="X216" s="420"/>
      <c r="Y216" s="420"/>
      <c r="Z216" s="420"/>
      <c r="AA216" s="420"/>
      <c r="AB216" s="420"/>
      <c r="AC216" s="423">
        <v>122</v>
      </c>
      <c r="AD216" s="297">
        <f>IF(AC216&lt;=B.2!$L$41,B.2!$M$41,IF(AND(AC216&lt;=B.2!$L$40,AC216&gt;B.2!$L$41),0+((B.2!$M$41-B.2!$M$40)/(B.2!$L$41-B.2!$L$40))*(AC216-B.2!$L$40),0))</f>
        <v>27.961165048543688</v>
      </c>
      <c r="AE216" s="420"/>
      <c r="AF216" s="420"/>
      <c r="AG216" s="420"/>
      <c r="AH216" s="146"/>
    </row>
    <row r="217" spans="2:34">
      <c r="B217" s="145"/>
      <c r="C217" s="276"/>
      <c r="D217" s="276"/>
      <c r="E217" s="276"/>
      <c r="F217" s="276"/>
      <c r="G217" s="276"/>
      <c r="H217" s="276"/>
      <c r="I217" s="276"/>
      <c r="J217" s="276"/>
      <c r="K217" s="276"/>
      <c r="L217" s="424">
        <v>123</v>
      </c>
      <c r="M217" s="296">
        <f>IF(L217&lt;=B.2!$G$41,B.2!$H$41,IF(AND(L217&lt;=B.2!$G$40,L217&gt;B.2!$G$41),0+((B.2!$H$41-B.2!$H$40)/(B.2!$G$41-B.2!$G$40))*(L217-B.2!$G$40),0))</f>
        <v>0</v>
      </c>
      <c r="N217" s="276"/>
      <c r="O217" s="276"/>
      <c r="P217" s="276"/>
      <c r="Q217" s="276"/>
      <c r="R217" s="295"/>
      <c r="S217" s="420"/>
      <c r="T217" s="420"/>
      <c r="U217" s="420"/>
      <c r="V217" s="420"/>
      <c r="W217" s="420"/>
      <c r="X217" s="420"/>
      <c r="Y217" s="420"/>
      <c r="Z217" s="420"/>
      <c r="AA217" s="420"/>
      <c r="AB217" s="420"/>
      <c r="AC217" s="423">
        <v>123</v>
      </c>
      <c r="AD217" s="297">
        <f>IF(AC217&lt;=B.2!$L$41,B.2!$M$41,IF(AND(AC217&lt;=B.2!$L$40,AC217&gt;B.2!$L$41),0+((B.2!$M$41-B.2!$M$40)/(B.2!$L$41-B.2!$L$40))*(AC217-B.2!$L$40),0))</f>
        <v>26.796116504854368</v>
      </c>
      <c r="AE217" s="420"/>
      <c r="AF217" s="420"/>
      <c r="AG217" s="420"/>
      <c r="AH217" s="146"/>
    </row>
    <row r="218" spans="2:34">
      <c r="B218" s="145"/>
      <c r="C218" s="276"/>
      <c r="D218" s="276"/>
      <c r="E218" s="276"/>
      <c r="F218" s="276"/>
      <c r="G218" s="276"/>
      <c r="H218" s="276"/>
      <c r="I218" s="276"/>
      <c r="J218" s="276"/>
      <c r="K218" s="276"/>
      <c r="L218" s="424">
        <v>124</v>
      </c>
      <c r="M218" s="296">
        <f>IF(L218&lt;=B.2!$G$41,B.2!$H$41,IF(AND(L218&lt;=B.2!$G$40,L218&gt;B.2!$G$41),0+((B.2!$H$41-B.2!$H$40)/(B.2!$G$41-B.2!$G$40))*(L218-B.2!$G$40),0))</f>
        <v>0</v>
      </c>
      <c r="N218" s="276"/>
      <c r="O218" s="276"/>
      <c r="P218" s="276"/>
      <c r="Q218" s="276"/>
      <c r="R218" s="295"/>
      <c r="S218" s="420"/>
      <c r="T218" s="420"/>
      <c r="U218" s="420"/>
      <c r="V218" s="420"/>
      <c r="W218" s="420"/>
      <c r="X218" s="420"/>
      <c r="Y218" s="420"/>
      <c r="Z218" s="420"/>
      <c r="AA218" s="420"/>
      <c r="AB218" s="420"/>
      <c r="AC218" s="423">
        <v>124</v>
      </c>
      <c r="AD218" s="297">
        <f>IF(AC218&lt;=B.2!$L$41,B.2!$M$41,IF(AND(AC218&lt;=B.2!$L$40,AC218&gt;B.2!$L$41),0+((B.2!$M$41-B.2!$M$40)/(B.2!$L$41-B.2!$L$40))*(AC218-B.2!$L$40),0))</f>
        <v>25.631067961165048</v>
      </c>
      <c r="AE218" s="420"/>
      <c r="AF218" s="420"/>
      <c r="AG218" s="420"/>
      <c r="AH218" s="146"/>
    </row>
    <row r="219" spans="2:34">
      <c r="B219" s="145"/>
      <c r="C219" s="276"/>
      <c r="D219" s="276"/>
      <c r="E219" s="276"/>
      <c r="F219" s="276"/>
      <c r="G219" s="276"/>
      <c r="H219" s="276"/>
      <c r="I219" s="276"/>
      <c r="J219" s="276"/>
      <c r="K219" s="276"/>
      <c r="L219" s="424">
        <v>125</v>
      </c>
      <c r="M219" s="296">
        <f>IF(L219&lt;=B.2!$G$41,B.2!$H$41,IF(AND(L219&lt;=B.2!$G$40,L219&gt;B.2!$G$41),0+((B.2!$H$41-B.2!$H$40)/(B.2!$G$41-B.2!$G$40))*(L219-B.2!$G$40),0))</f>
        <v>0</v>
      </c>
      <c r="N219" s="276"/>
      <c r="O219" s="276"/>
      <c r="P219" s="276"/>
      <c r="Q219" s="276"/>
      <c r="R219" s="295"/>
      <c r="S219" s="420"/>
      <c r="T219" s="420"/>
      <c r="U219" s="420"/>
      <c r="V219" s="420"/>
      <c r="W219" s="420"/>
      <c r="X219" s="420"/>
      <c r="Y219" s="420"/>
      <c r="Z219" s="420"/>
      <c r="AA219" s="420"/>
      <c r="AB219" s="420"/>
      <c r="AC219" s="423">
        <v>125</v>
      </c>
      <c r="AD219" s="297">
        <f>IF(AC219&lt;=B.2!$L$41,B.2!$M$41,IF(AND(AC219&lt;=B.2!$L$40,AC219&gt;B.2!$L$41),0+((B.2!$M$41-B.2!$M$40)/(B.2!$L$41-B.2!$L$40))*(AC219-B.2!$L$40),0))</f>
        <v>24.466019417475728</v>
      </c>
      <c r="AE219" s="420"/>
      <c r="AF219" s="420"/>
      <c r="AG219" s="420"/>
      <c r="AH219" s="146"/>
    </row>
    <row r="220" spans="2:34">
      <c r="B220" s="145"/>
      <c r="C220" s="276"/>
      <c r="D220" s="276"/>
      <c r="E220" s="276"/>
      <c r="F220" s="276"/>
      <c r="G220" s="276"/>
      <c r="H220" s="276"/>
      <c r="I220" s="276"/>
      <c r="J220" s="276"/>
      <c r="K220" s="276"/>
      <c r="L220" s="424">
        <v>126</v>
      </c>
      <c r="M220" s="296">
        <f>IF(L220&lt;=B.2!$G$41,B.2!$H$41,IF(AND(L220&lt;=B.2!$G$40,L220&gt;B.2!$G$41),0+((B.2!$H$41-B.2!$H$40)/(B.2!$G$41-B.2!$G$40))*(L220-B.2!$G$40),0))</f>
        <v>0</v>
      </c>
      <c r="N220" s="276"/>
      <c r="O220" s="276"/>
      <c r="P220" s="276"/>
      <c r="Q220" s="276"/>
      <c r="R220" s="295"/>
      <c r="S220" s="420"/>
      <c r="T220" s="420"/>
      <c r="U220" s="420"/>
      <c r="V220" s="420"/>
      <c r="W220" s="420"/>
      <c r="X220" s="420"/>
      <c r="Y220" s="420"/>
      <c r="Z220" s="420"/>
      <c r="AA220" s="420"/>
      <c r="AB220" s="420"/>
      <c r="AC220" s="423">
        <v>126</v>
      </c>
      <c r="AD220" s="297">
        <f>IF(AC220&lt;=B.2!$L$41,B.2!$M$41,IF(AND(AC220&lt;=B.2!$L$40,AC220&gt;B.2!$L$41),0+((B.2!$M$41-B.2!$M$40)/(B.2!$L$41-B.2!$L$40))*(AC220-B.2!$L$40),0))</f>
        <v>23.300970873786405</v>
      </c>
      <c r="AE220" s="420"/>
      <c r="AF220" s="420"/>
      <c r="AG220" s="420"/>
      <c r="AH220" s="146"/>
    </row>
    <row r="221" spans="2:34">
      <c r="B221" s="145"/>
      <c r="C221" s="276"/>
      <c r="D221" s="276"/>
      <c r="E221" s="276"/>
      <c r="F221" s="276"/>
      <c r="G221" s="276"/>
      <c r="H221" s="276"/>
      <c r="I221" s="276"/>
      <c r="J221" s="276"/>
      <c r="K221" s="276"/>
      <c r="L221" s="424">
        <v>127</v>
      </c>
      <c r="M221" s="296">
        <f>IF(L221&lt;=B.2!$G$41,B.2!$H$41,IF(AND(L221&lt;=B.2!$G$40,L221&gt;B.2!$G$41),0+((B.2!$H$41-B.2!$H$40)/(B.2!$G$41-B.2!$G$40))*(L221-B.2!$G$40),0))</f>
        <v>0</v>
      </c>
      <c r="N221" s="276"/>
      <c r="O221" s="276"/>
      <c r="P221" s="276"/>
      <c r="Q221" s="276"/>
      <c r="R221" s="295"/>
      <c r="S221" s="420"/>
      <c r="T221" s="420"/>
      <c r="U221" s="420"/>
      <c r="V221" s="420"/>
      <c r="W221" s="420"/>
      <c r="X221" s="420"/>
      <c r="Y221" s="420"/>
      <c r="Z221" s="420"/>
      <c r="AA221" s="420"/>
      <c r="AB221" s="420"/>
      <c r="AC221" s="423">
        <v>127</v>
      </c>
      <c r="AD221" s="297">
        <f>IF(AC221&lt;=B.2!$L$41,B.2!$M$41,IF(AND(AC221&lt;=B.2!$L$40,AC221&gt;B.2!$L$41),0+((B.2!$M$41-B.2!$M$40)/(B.2!$L$41-B.2!$L$40))*(AC221-B.2!$L$40),0))</f>
        <v>22.135922330097085</v>
      </c>
      <c r="AE221" s="420"/>
      <c r="AF221" s="420"/>
      <c r="AG221" s="420"/>
      <c r="AH221" s="146"/>
    </row>
    <row r="222" spans="2:34">
      <c r="B222" s="145"/>
      <c r="C222" s="276"/>
      <c r="D222" s="276"/>
      <c r="E222" s="276"/>
      <c r="F222" s="276"/>
      <c r="G222" s="276"/>
      <c r="H222" s="276"/>
      <c r="I222" s="276"/>
      <c r="J222" s="276"/>
      <c r="K222" s="276"/>
      <c r="L222" s="424">
        <v>128</v>
      </c>
      <c r="M222" s="296">
        <f>IF(L222&lt;=B.2!$G$41,B.2!$H$41,IF(AND(L222&lt;=B.2!$G$40,L222&gt;B.2!$G$41),0+((B.2!$H$41-B.2!$H$40)/(B.2!$G$41-B.2!$G$40))*(L222-B.2!$G$40),0))</f>
        <v>0</v>
      </c>
      <c r="N222" s="276"/>
      <c r="O222" s="276"/>
      <c r="P222" s="276"/>
      <c r="Q222" s="276"/>
      <c r="R222" s="295"/>
      <c r="S222" s="420"/>
      <c r="T222" s="420"/>
      <c r="U222" s="420"/>
      <c r="V222" s="420"/>
      <c r="W222" s="420"/>
      <c r="X222" s="420"/>
      <c r="Y222" s="420"/>
      <c r="Z222" s="420"/>
      <c r="AA222" s="420"/>
      <c r="AB222" s="420"/>
      <c r="AC222" s="423">
        <v>128</v>
      </c>
      <c r="AD222" s="297">
        <f>IF(AC222&lt;=B.2!$L$41,B.2!$M$41,IF(AND(AC222&lt;=B.2!$L$40,AC222&gt;B.2!$L$41),0+((B.2!$M$41-B.2!$M$40)/(B.2!$L$41-B.2!$L$40))*(AC222-B.2!$L$40),0))</f>
        <v>20.970873786407765</v>
      </c>
      <c r="AE222" s="420"/>
      <c r="AF222" s="420"/>
      <c r="AG222" s="420"/>
      <c r="AH222" s="146"/>
    </row>
    <row r="223" spans="2:34">
      <c r="B223" s="145"/>
      <c r="C223" s="276"/>
      <c r="D223" s="276"/>
      <c r="E223" s="276"/>
      <c r="F223" s="276"/>
      <c r="G223" s="276"/>
      <c r="H223" s="276"/>
      <c r="I223" s="276"/>
      <c r="J223" s="276"/>
      <c r="K223" s="276"/>
      <c r="L223" s="424">
        <v>129</v>
      </c>
      <c r="M223" s="296">
        <f>IF(L223&lt;=B.2!$G$41,B.2!$H$41,IF(AND(L223&lt;=B.2!$G$40,L223&gt;B.2!$G$41),0+((B.2!$H$41-B.2!$H$40)/(B.2!$G$41-B.2!$G$40))*(L223-B.2!$G$40),0))</f>
        <v>0</v>
      </c>
      <c r="N223" s="276"/>
      <c r="O223" s="276"/>
      <c r="P223" s="276"/>
      <c r="Q223" s="276"/>
      <c r="R223" s="295"/>
      <c r="S223" s="420"/>
      <c r="T223" s="420"/>
      <c r="U223" s="420"/>
      <c r="V223" s="420"/>
      <c r="W223" s="420"/>
      <c r="X223" s="420"/>
      <c r="Y223" s="420"/>
      <c r="Z223" s="420"/>
      <c r="AA223" s="420"/>
      <c r="AB223" s="420"/>
      <c r="AC223" s="423">
        <v>129</v>
      </c>
      <c r="AD223" s="297">
        <f>IF(AC223&lt;=B.2!$L$41,B.2!$M$41,IF(AND(AC223&lt;=B.2!$L$40,AC223&gt;B.2!$L$41),0+((B.2!$M$41-B.2!$M$40)/(B.2!$L$41-B.2!$L$40))*(AC223-B.2!$L$40),0))</f>
        <v>19.805825242718445</v>
      </c>
      <c r="AE223" s="420"/>
      <c r="AF223" s="420"/>
      <c r="AG223" s="420"/>
      <c r="AH223" s="146"/>
    </row>
    <row r="224" spans="2:34">
      <c r="B224" s="145"/>
      <c r="C224" s="276"/>
      <c r="D224" s="276"/>
      <c r="E224" s="276"/>
      <c r="F224" s="276"/>
      <c r="G224" s="276"/>
      <c r="H224" s="276"/>
      <c r="I224" s="276"/>
      <c r="J224" s="276"/>
      <c r="K224" s="276"/>
      <c r="L224" s="424">
        <v>130</v>
      </c>
      <c r="M224" s="296">
        <f>IF(L224&lt;=B.2!$G$41,B.2!$H$41,IF(AND(L224&lt;=B.2!$G$40,L224&gt;B.2!$G$41),0+((B.2!$H$41-B.2!$H$40)/(B.2!$G$41-B.2!$G$40))*(L224-B.2!$G$40),0))</f>
        <v>0</v>
      </c>
      <c r="N224" s="276"/>
      <c r="O224" s="276"/>
      <c r="P224" s="276"/>
      <c r="Q224" s="276"/>
      <c r="R224" s="295"/>
      <c r="S224" s="420"/>
      <c r="T224" s="420"/>
      <c r="U224" s="420"/>
      <c r="V224" s="420"/>
      <c r="W224" s="420"/>
      <c r="X224" s="420"/>
      <c r="Y224" s="420"/>
      <c r="Z224" s="420"/>
      <c r="AA224" s="420"/>
      <c r="AB224" s="420"/>
      <c r="AC224" s="423">
        <v>130</v>
      </c>
      <c r="AD224" s="297">
        <f>IF(AC224&lt;=B.2!$L$41,B.2!$M$41,IF(AND(AC224&lt;=B.2!$L$40,AC224&gt;B.2!$L$41),0+((B.2!$M$41-B.2!$M$40)/(B.2!$L$41-B.2!$L$40))*(AC224-B.2!$L$40),0))</f>
        <v>18.640776699029125</v>
      </c>
      <c r="AE224" s="420"/>
      <c r="AF224" s="420"/>
      <c r="AG224" s="420"/>
      <c r="AH224" s="146"/>
    </row>
    <row r="225" spans="2:34">
      <c r="B225" s="145"/>
      <c r="C225" s="276"/>
      <c r="D225" s="276"/>
      <c r="E225" s="276"/>
      <c r="F225" s="276"/>
      <c r="G225" s="276"/>
      <c r="H225" s="276"/>
      <c r="I225" s="276"/>
      <c r="J225" s="276"/>
      <c r="K225" s="276"/>
      <c r="L225" s="424">
        <v>131</v>
      </c>
      <c r="M225" s="296">
        <f>IF(L225&lt;=B.2!$G$41,B.2!$H$41,IF(AND(L225&lt;=B.2!$G$40,L225&gt;B.2!$G$41),0+((B.2!$H$41-B.2!$H$40)/(B.2!$G$41-B.2!$G$40))*(L225-B.2!$G$40),0))</f>
        <v>0</v>
      </c>
      <c r="N225" s="276"/>
      <c r="O225" s="276"/>
      <c r="P225" s="276"/>
      <c r="Q225" s="276"/>
      <c r="R225" s="295"/>
      <c r="S225" s="420"/>
      <c r="T225" s="420"/>
      <c r="U225" s="420"/>
      <c r="V225" s="420"/>
      <c r="W225" s="420"/>
      <c r="X225" s="420"/>
      <c r="Y225" s="420"/>
      <c r="Z225" s="420"/>
      <c r="AA225" s="420"/>
      <c r="AB225" s="420"/>
      <c r="AC225" s="423">
        <v>131</v>
      </c>
      <c r="AD225" s="297">
        <f>IF(AC225&lt;=B.2!$L$41,B.2!$M$41,IF(AND(AC225&lt;=B.2!$L$40,AC225&gt;B.2!$L$41),0+((B.2!$M$41-B.2!$M$40)/(B.2!$L$41-B.2!$L$40))*(AC225-B.2!$L$40),0))</f>
        <v>17.475728155339805</v>
      </c>
      <c r="AE225" s="420"/>
      <c r="AF225" s="420"/>
      <c r="AG225" s="420"/>
      <c r="AH225" s="146"/>
    </row>
    <row r="226" spans="2:34">
      <c r="B226" s="145"/>
      <c r="C226" s="276"/>
      <c r="D226" s="276"/>
      <c r="E226" s="276"/>
      <c r="F226" s="276"/>
      <c r="G226" s="276"/>
      <c r="H226" s="276"/>
      <c r="I226" s="276"/>
      <c r="J226" s="276"/>
      <c r="K226" s="276"/>
      <c r="L226" s="424">
        <v>132</v>
      </c>
      <c r="M226" s="296">
        <f>IF(L226&lt;=B.2!$G$41,B.2!$H$41,IF(AND(L226&lt;=B.2!$G$40,L226&gt;B.2!$G$41),0+((B.2!$H$41-B.2!$H$40)/(B.2!$G$41-B.2!$G$40))*(L226-B.2!$G$40),0))</f>
        <v>0</v>
      </c>
      <c r="N226" s="276"/>
      <c r="O226" s="276"/>
      <c r="P226" s="276"/>
      <c r="Q226" s="276"/>
      <c r="R226" s="295"/>
      <c r="S226" s="420"/>
      <c r="T226" s="420"/>
      <c r="U226" s="420"/>
      <c r="V226" s="420"/>
      <c r="W226" s="420"/>
      <c r="X226" s="420"/>
      <c r="Y226" s="420"/>
      <c r="Z226" s="420"/>
      <c r="AA226" s="420"/>
      <c r="AB226" s="420"/>
      <c r="AC226" s="423">
        <v>132</v>
      </c>
      <c r="AD226" s="297">
        <f>IF(AC226&lt;=B.2!$L$41,B.2!$M$41,IF(AND(AC226&lt;=B.2!$L$40,AC226&gt;B.2!$L$41),0+((B.2!$M$41-B.2!$M$40)/(B.2!$L$41-B.2!$L$40))*(AC226-B.2!$L$40),0))</f>
        <v>16.310679611650485</v>
      </c>
      <c r="AE226" s="420"/>
      <c r="AF226" s="420"/>
      <c r="AG226" s="420"/>
      <c r="AH226" s="146"/>
    </row>
    <row r="227" spans="2:34">
      <c r="B227" s="145"/>
      <c r="C227" s="276"/>
      <c r="D227" s="276"/>
      <c r="E227" s="276"/>
      <c r="F227" s="276"/>
      <c r="G227" s="276"/>
      <c r="H227" s="276"/>
      <c r="I227" s="276"/>
      <c r="J227" s="276"/>
      <c r="K227" s="276"/>
      <c r="L227" s="424">
        <v>133</v>
      </c>
      <c r="M227" s="296">
        <f>IF(L227&lt;=B.2!$G$41,B.2!$H$41,IF(AND(L227&lt;=B.2!$G$40,L227&gt;B.2!$G$41),0+((B.2!$H$41-B.2!$H$40)/(B.2!$G$41-B.2!$G$40))*(L227-B.2!$G$40),0))</f>
        <v>0</v>
      </c>
      <c r="N227" s="276"/>
      <c r="O227" s="276"/>
      <c r="P227" s="276"/>
      <c r="Q227" s="276"/>
      <c r="R227" s="295"/>
      <c r="S227" s="420"/>
      <c r="T227" s="420"/>
      <c r="U227" s="420"/>
      <c r="V227" s="420"/>
      <c r="W227" s="420"/>
      <c r="X227" s="420"/>
      <c r="Y227" s="420"/>
      <c r="Z227" s="420"/>
      <c r="AA227" s="420"/>
      <c r="AB227" s="420"/>
      <c r="AC227" s="423">
        <v>133</v>
      </c>
      <c r="AD227" s="297">
        <f>IF(AC227&lt;=B.2!$L$41,B.2!$M$41,IF(AND(AC227&lt;=B.2!$L$40,AC227&gt;B.2!$L$41),0+((B.2!$M$41-B.2!$M$40)/(B.2!$L$41-B.2!$L$40))*(AC227-B.2!$L$40),0))</f>
        <v>15.145631067961164</v>
      </c>
      <c r="AE227" s="420"/>
      <c r="AF227" s="420"/>
      <c r="AG227" s="420"/>
      <c r="AH227" s="146"/>
    </row>
    <row r="228" spans="2:34">
      <c r="B228" s="145"/>
      <c r="C228" s="276"/>
      <c r="D228" s="276"/>
      <c r="E228" s="276"/>
      <c r="F228" s="276"/>
      <c r="G228" s="276"/>
      <c r="H228" s="276"/>
      <c r="I228" s="276"/>
      <c r="J228" s="276"/>
      <c r="K228" s="276"/>
      <c r="L228" s="424">
        <v>134</v>
      </c>
      <c r="M228" s="296">
        <f>IF(L228&lt;=B.2!$G$41,B.2!$H$41,IF(AND(L228&lt;=B.2!$G$40,L228&gt;B.2!$G$41),0+((B.2!$H$41-B.2!$H$40)/(B.2!$G$41-B.2!$G$40))*(L228-B.2!$G$40),0))</f>
        <v>0</v>
      </c>
      <c r="N228" s="276"/>
      <c r="O228" s="276"/>
      <c r="P228" s="276"/>
      <c r="Q228" s="276"/>
      <c r="R228" s="295"/>
      <c r="S228" s="420"/>
      <c r="T228" s="420"/>
      <c r="U228" s="420"/>
      <c r="V228" s="420"/>
      <c r="W228" s="420"/>
      <c r="X228" s="420"/>
      <c r="Y228" s="420"/>
      <c r="Z228" s="420"/>
      <c r="AA228" s="420"/>
      <c r="AB228" s="420"/>
      <c r="AC228" s="423">
        <v>134</v>
      </c>
      <c r="AD228" s="297">
        <f>IF(AC228&lt;=B.2!$L$41,B.2!$M$41,IF(AND(AC228&lt;=B.2!$L$40,AC228&gt;B.2!$L$41),0+((B.2!$M$41-B.2!$M$40)/(B.2!$L$41-B.2!$L$40))*(AC228-B.2!$L$40),0))</f>
        <v>13.980582524271844</v>
      </c>
      <c r="AE228" s="420"/>
      <c r="AF228" s="420"/>
      <c r="AG228" s="420"/>
      <c r="AH228" s="146"/>
    </row>
    <row r="229" spans="2:34">
      <c r="B229" s="145"/>
      <c r="C229" s="276"/>
      <c r="D229" s="276"/>
      <c r="E229" s="276"/>
      <c r="F229" s="276"/>
      <c r="G229" s="276"/>
      <c r="H229" s="276"/>
      <c r="I229" s="276"/>
      <c r="J229" s="276"/>
      <c r="K229" s="276"/>
      <c r="L229" s="424">
        <v>135</v>
      </c>
      <c r="M229" s="296">
        <f>IF(L229&lt;=B.2!$G$41,B.2!$H$41,IF(AND(L229&lt;=B.2!$G$40,L229&gt;B.2!$G$41),0+((B.2!$H$41-B.2!$H$40)/(B.2!$G$41-B.2!$G$40))*(L229-B.2!$G$40),0))</f>
        <v>0</v>
      </c>
      <c r="N229" s="276"/>
      <c r="O229" s="276"/>
      <c r="P229" s="276"/>
      <c r="Q229" s="276"/>
      <c r="R229" s="295"/>
      <c r="S229" s="420"/>
      <c r="T229" s="420"/>
      <c r="U229" s="420"/>
      <c r="V229" s="420"/>
      <c r="W229" s="420"/>
      <c r="X229" s="420"/>
      <c r="Y229" s="420"/>
      <c r="Z229" s="420"/>
      <c r="AA229" s="420"/>
      <c r="AB229" s="420"/>
      <c r="AC229" s="423">
        <v>135</v>
      </c>
      <c r="AD229" s="297">
        <f>IF(AC229&lt;=B.2!$L$41,B.2!$M$41,IF(AND(AC229&lt;=B.2!$L$40,AC229&gt;B.2!$L$41),0+((B.2!$M$41-B.2!$M$40)/(B.2!$L$41-B.2!$L$40))*(AC229-B.2!$L$40),0))</f>
        <v>12.815533980582524</v>
      </c>
      <c r="AE229" s="420"/>
      <c r="AF229" s="420"/>
      <c r="AG229" s="420"/>
      <c r="AH229" s="146"/>
    </row>
    <row r="230" spans="2:34">
      <c r="B230" s="145"/>
      <c r="C230" s="276"/>
      <c r="D230" s="276"/>
      <c r="E230" s="276"/>
      <c r="F230" s="276"/>
      <c r="G230" s="276"/>
      <c r="H230" s="276"/>
      <c r="I230" s="276"/>
      <c r="J230" s="276"/>
      <c r="K230" s="276"/>
      <c r="L230" s="424">
        <v>136</v>
      </c>
      <c r="M230" s="296">
        <f>IF(L230&lt;=B.2!$G$41,B.2!$H$41,IF(AND(L230&lt;=B.2!$G$40,L230&gt;B.2!$G$41),0+((B.2!$H$41-B.2!$H$40)/(B.2!$G$41-B.2!$G$40))*(L230-B.2!$G$40),0))</f>
        <v>0</v>
      </c>
      <c r="N230" s="276"/>
      <c r="O230" s="276"/>
      <c r="P230" s="276"/>
      <c r="Q230" s="276"/>
      <c r="R230" s="295"/>
      <c r="S230" s="420"/>
      <c r="T230" s="420"/>
      <c r="U230" s="420"/>
      <c r="V230" s="420"/>
      <c r="W230" s="420"/>
      <c r="X230" s="420"/>
      <c r="Y230" s="420"/>
      <c r="Z230" s="420"/>
      <c r="AA230" s="420"/>
      <c r="AB230" s="420"/>
      <c r="AC230" s="423">
        <v>136</v>
      </c>
      <c r="AD230" s="297">
        <f>IF(AC230&lt;=B.2!$L$41,B.2!$M$41,IF(AND(AC230&lt;=B.2!$L$40,AC230&gt;B.2!$L$41),0+((B.2!$M$41-B.2!$M$40)/(B.2!$L$41-B.2!$L$40))*(AC230-B.2!$L$40),0))</f>
        <v>11.650485436893202</v>
      </c>
      <c r="AE230" s="420"/>
      <c r="AF230" s="420"/>
      <c r="AG230" s="420"/>
      <c r="AH230" s="146"/>
    </row>
    <row r="231" spans="2:34">
      <c r="B231" s="145"/>
      <c r="C231" s="276"/>
      <c r="D231" s="276"/>
      <c r="E231" s="276"/>
      <c r="F231" s="276"/>
      <c r="G231" s="276"/>
      <c r="H231" s="276"/>
      <c r="I231" s="276"/>
      <c r="J231" s="276"/>
      <c r="K231" s="276"/>
      <c r="L231" s="424">
        <v>137</v>
      </c>
      <c r="M231" s="296">
        <f>IF(L231&lt;=B.2!$G$41,B.2!$H$41,IF(AND(L231&lt;=B.2!$G$40,L231&gt;B.2!$G$41),0+((B.2!$H$41-B.2!$H$40)/(B.2!$G$41-B.2!$G$40))*(L231-B.2!$G$40),0))</f>
        <v>0</v>
      </c>
      <c r="N231" s="276"/>
      <c r="O231" s="276"/>
      <c r="P231" s="276"/>
      <c r="Q231" s="276"/>
      <c r="R231" s="295"/>
      <c r="S231" s="420"/>
      <c r="T231" s="420"/>
      <c r="U231" s="420"/>
      <c r="V231" s="420"/>
      <c r="W231" s="420"/>
      <c r="X231" s="420"/>
      <c r="Y231" s="420"/>
      <c r="Z231" s="420"/>
      <c r="AA231" s="420"/>
      <c r="AB231" s="420"/>
      <c r="AC231" s="423">
        <v>137</v>
      </c>
      <c r="AD231" s="297">
        <f>IF(AC231&lt;=B.2!$L$41,B.2!$M$41,IF(AND(AC231&lt;=B.2!$L$40,AC231&gt;B.2!$L$41),0+((B.2!$M$41-B.2!$M$40)/(B.2!$L$41-B.2!$L$40))*(AC231-B.2!$L$40),0))</f>
        <v>10.485436893203882</v>
      </c>
      <c r="AE231" s="420"/>
      <c r="AF231" s="420"/>
      <c r="AG231" s="420"/>
      <c r="AH231" s="146"/>
    </row>
    <row r="232" spans="2:34">
      <c r="B232" s="145"/>
      <c r="C232" s="276"/>
      <c r="D232" s="276"/>
      <c r="E232" s="276"/>
      <c r="F232" s="276"/>
      <c r="G232" s="276"/>
      <c r="H232" s="276"/>
      <c r="I232" s="276"/>
      <c r="J232" s="276"/>
      <c r="K232" s="276"/>
      <c r="L232" s="424">
        <v>138</v>
      </c>
      <c r="M232" s="296">
        <f>IF(L232&lt;=B.2!$G$41,B.2!$H$41,IF(AND(L232&lt;=B.2!$G$40,L232&gt;B.2!$G$41),0+((B.2!$H$41-B.2!$H$40)/(B.2!$G$41-B.2!$G$40))*(L232-B.2!$G$40),0))</f>
        <v>0</v>
      </c>
      <c r="N232" s="276"/>
      <c r="O232" s="276"/>
      <c r="P232" s="276"/>
      <c r="Q232" s="276"/>
      <c r="R232" s="295"/>
      <c r="S232" s="420"/>
      <c r="T232" s="420"/>
      <c r="U232" s="420"/>
      <c r="V232" s="420"/>
      <c r="W232" s="420"/>
      <c r="X232" s="420"/>
      <c r="Y232" s="420"/>
      <c r="Z232" s="420"/>
      <c r="AA232" s="420"/>
      <c r="AB232" s="420"/>
      <c r="AC232" s="423">
        <v>138</v>
      </c>
      <c r="AD232" s="297">
        <f>IF(AC232&lt;=B.2!$L$41,B.2!$M$41,IF(AND(AC232&lt;=B.2!$L$40,AC232&gt;B.2!$L$41),0+((B.2!$M$41-B.2!$M$40)/(B.2!$L$41-B.2!$L$40))*(AC232-B.2!$L$40),0))</f>
        <v>9.3203883495145625</v>
      </c>
      <c r="AE232" s="420"/>
      <c r="AF232" s="420"/>
      <c r="AG232" s="420"/>
      <c r="AH232" s="146"/>
    </row>
    <row r="233" spans="2:34">
      <c r="B233" s="145"/>
      <c r="C233" s="276"/>
      <c r="D233" s="276"/>
      <c r="E233" s="276"/>
      <c r="F233" s="276"/>
      <c r="G233" s="276"/>
      <c r="H233" s="276"/>
      <c r="I233" s="276"/>
      <c r="J233" s="276"/>
      <c r="K233" s="276"/>
      <c r="L233" s="424">
        <v>139</v>
      </c>
      <c r="M233" s="296">
        <f>IF(L233&lt;=B.2!$G$41,B.2!$H$41,IF(AND(L233&lt;=B.2!$G$40,L233&gt;B.2!$G$41),0+((B.2!$H$41-B.2!$H$40)/(B.2!$G$41-B.2!$G$40))*(L233-B.2!$G$40),0))</f>
        <v>0</v>
      </c>
      <c r="N233" s="276"/>
      <c r="O233" s="276"/>
      <c r="P233" s="276"/>
      <c r="Q233" s="276"/>
      <c r="R233" s="295"/>
      <c r="S233" s="420"/>
      <c r="T233" s="420"/>
      <c r="U233" s="420"/>
      <c r="V233" s="420"/>
      <c r="W233" s="420"/>
      <c r="X233" s="420"/>
      <c r="Y233" s="420"/>
      <c r="Z233" s="420"/>
      <c r="AA233" s="420"/>
      <c r="AB233" s="420"/>
      <c r="AC233" s="423">
        <v>139</v>
      </c>
      <c r="AD233" s="297">
        <f>IF(AC233&lt;=B.2!$L$41,B.2!$M$41,IF(AND(AC233&lt;=B.2!$L$40,AC233&gt;B.2!$L$41),0+((B.2!$M$41-B.2!$M$40)/(B.2!$L$41-B.2!$L$40))*(AC233-B.2!$L$40),0))</f>
        <v>8.1553398058252426</v>
      </c>
      <c r="AE233" s="420"/>
      <c r="AF233" s="420"/>
      <c r="AG233" s="420"/>
      <c r="AH233" s="146"/>
    </row>
    <row r="234" spans="2:34">
      <c r="B234" s="145"/>
      <c r="C234" s="276"/>
      <c r="D234" s="276"/>
      <c r="E234" s="276"/>
      <c r="F234" s="276"/>
      <c r="G234" s="276"/>
      <c r="H234" s="276"/>
      <c r="I234" s="276"/>
      <c r="J234" s="276"/>
      <c r="K234" s="276"/>
      <c r="L234" s="424">
        <v>140</v>
      </c>
      <c r="M234" s="296">
        <f>IF(L234&lt;=B.2!$G$41,B.2!$H$41,IF(AND(L234&lt;=B.2!$G$40,L234&gt;B.2!$G$41),0+((B.2!$H$41-B.2!$H$40)/(B.2!$G$41-B.2!$G$40))*(L234-B.2!$G$40),0))</f>
        <v>0</v>
      </c>
      <c r="N234" s="276"/>
      <c r="O234" s="276"/>
      <c r="P234" s="276"/>
      <c r="Q234" s="276"/>
      <c r="R234" s="295"/>
      <c r="S234" s="420"/>
      <c r="T234" s="420"/>
      <c r="U234" s="420"/>
      <c r="V234" s="420"/>
      <c r="W234" s="420"/>
      <c r="X234" s="420"/>
      <c r="Y234" s="420"/>
      <c r="Z234" s="420"/>
      <c r="AA234" s="420"/>
      <c r="AB234" s="420"/>
      <c r="AC234" s="423">
        <v>140</v>
      </c>
      <c r="AD234" s="297">
        <f>IF(AC234&lt;=B.2!$L$41,B.2!$M$41,IF(AND(AC234&lt;=B.2!$L$40,AC234&gt;B.2!$L$41),0+((B.2!$M$41-B.2!$M$40)/(B.2!$L$41-B.2!$L$40))*(AC234-B.2!$L$40),0))</f>
        <v>6.9902912621359219</v>
      </c>
      <c r="AE234" s="420"/>
      <c r="AF234" s="420"/>
      <c r="AG234" s="420"/>
      <c r="AH234" s="146"/>
    </row>
    <row r="235" spans="2:34">
      <c r="B235" s="145"/>
      <c r="C235" s="276"/>
      <c r="D235" s="276"/>
      <c r="E235" s="276"/>
      <c r="F235" s="276"/>
      <c r="G235" s="276"/>
      <c r="H235" s="276"/>
      <c r="I235" s="276"/>
      <c r="J235" s="276"/>
      <c r="K235" s="276"/>
      <c r="L235" s="424">
        <v>141</v>
      </c>
      <c r="M235" s="296">
        <f>IF(L235&lt;=B.2!$G$41,B.2!$H$41,IF(AND(L235&lt;=B.2!$G$40,L235&gt;B.2!$G$41),0+((B.2!$H$41-B.2!$H$40)/(B.2!$G$41-B.2!$G$40))*(L235-B.2!$G$40),0))</f>
        <v>0</v>
      </c>
      <c r="N235" s="276"/>
      <c r="O235" s="276"/>
      <c r="P235" s="276"/>
      <c r="Q235" s="276"/>
      <c r="R235" s="295"/>
      <c r="S235" s="420"/>
      <c r="T235" s="420"/>
      <c r="U235" s="420"/>
      <c r="V235" s="420"/>
      <c r="W235" s="420"/>
      <c r="X235" s="420"/>
      <c r="Y235" s="420"/>
      <c r="Z235" s="420"/>
      <c r="AA235" s="420"/>
      <c r="AB235" s="420"/>
      <c r="AC235" s="423">
        <v>141</v>
      </c>
      <c r="AD235" s="297">
        <f>IF(AC235&lt;=B.2!$L$41,B.2!$M$41,IF(AND(AC235&lt;=B.2!$L$40,AC235&gt;B.2!$L$41),0+((B.2!$M$41-B.2!$M$40)/(B.2!$L$41-B.2!$L$40))*(AC235-B.2!$L$40),0))</f>
        <v>5.8252427184466011</v>
      </c>
      <c r="AE235" s="420"/>
      <c r="AF235" s="420"/>
      <c r="AG235" s="420"/>
      <c r="AH235" s="146"/>
    </row>
    <row r="236" spans="2:34">
      <c r="B236" s="145"/>
      <c r="C236" s="276"/>
      <c r="D236" s="276"/>
      <c r="E236" s="276"/>
      <c r="F236" s="276"/>
      <c r="G236" s="276"/>
      <c r="H236" s="276"/>
      <c r="I236" s="276"/>
      <c r="J236" s="276"/>
      <c r="K236" s="276"/>
      <c r="L236" s="424">
        <v>142</v>
      </c>
      <c r="M236" s="296">
        <f>IF(L236&lt;=B.2!$G$41,B.2!$H$41,IF(AND(L236&lt;=B.2!$G$40,L236&gt;B.2!$G$41),0+((B.2!$H$41-B.2!$H$40)/(B.2!$G$41-B.2!$G$40))*(L236-B.2!$G$40),0))</f>
        <v>0</v>
      </c>
      <c r="N236" s="276"/>
      <c r="O236" s="276"/>
      <c r="P236" s="276"/>
      <c r="Q236" s="276"/>
      <c r="R236" s="295"/>
      <c r="S236" s="420"/>
      <c r="T236" s="420"/>
      <c r="U236" s="420"/>
      <c r="V236" s="420"/>
      <c r="W236" s="420"/>
      <c r="X236" s="420"/>
      <c r="Y236" s="420"/>
      <c r="Z236" s="420"/>
      <c r="AA236" s="420"/>
      <c r="AB236" s="420"/>
      <c r="AC236" s="423">
        <v>142</v>
      </c>
      <c r="AD236" s="297">
        <f>IF(AC236&lt;=B.2!$L$41,B.2!$M$41,IF(AND(AC236&lt;=B.2!$L$40,AC236&gt;B.2!$L$41),0+((B.2!$M$41-B.2!$M$40)/(B.2!$L$41-B.2!$L$40))*(AC236-B.2!$L$40),0))</f>
        <v>4.6601941747572813</v>
      </c>
      <c r="AE236" s="420"/>
      <c r="AF236" s="420"/>
      <c r="AG236" s="420"/>
      <c r="AH236" s="146"/>
    </row>
    <row r="237" spans="2:34">
      <c r="B237" s="145"/>
      <c r="C237" s="276"/>
      <c r="D237" s="276"/>
      <c r="E237" s="276"/>
      <c r="F237" s="276"/>
      <c r="G237" s="276"/>
      <c r="H237" s="276"/>
      <c r="I237" s="276"/>
      <c r="J237" s="276"/>
      <c r="K237" s="276"/>
      <c r="L237" s="424">
        <v>143</v>
      </c>
      <c r="M237" s="296">
        <f>IF(L237&lt;=B.2!$G$41,B.2!$H$41,IF(AND(L237&lt;=B.2!$G$40,L237&gt;B.2!$G$41),0+((B.2!$H$41-B.2!$H$40)/(B.2!$G$41-B.2!$G$40))*(L237-B.2!$G$40),0))</f>
        <v>0</v>
      </c>
      <c r="N237" s="276"/>
      <c r="O237" s="276"/>
      <c r="P237" s="276"/>
      <c r="Q237" s="276"/>
      <c r="R237" s="295"/>
      <c r="S237" s="420"/>
      <c r="T237" s="420"/>
      <c r="U237" s="420"/>
      <c r="V237" s="420"/>
      <c r="W237" s="420"/>
      <c r="X237" s="420"/>
      <c r="Y237" s="420"/>
      <c r="Z237" s="420"/>
      <c r="AA237" s="420"/>
      <c r="AB237" s="420"/>
      <c r="AC237" s="423">
        <v>143</v>
      </c>
      <c r="AD237" s="297">
        <f>IF(AC237&lt;=B.2!$L$41,B.2!$M$41,IF(AND(AC237&lt;=B.2!$L$40,AC237&gt;B.2!$L$41),0+((B.2!$M$41-B.2!$M$40)/(B.2!$L$41-B.2!$L$40))*(AC237-B.2!$L$40),0))</f>
        <v>3.4951456310679609</v>
      </c>
      <c r="AE237" s="420"/>
      <c r="AF237" s="420"/>
      <c r="AG237" s="420"/>
      <c r="AH237" s="146"/>
    </row>
    <row r="238" spans="2:34">
      <c r="B238" s="145"/>
      <c r="C238" s="276"/>
      <c r="D238" s="276"/>
      <c r="E238" s="276"/>
      <c r="F238" s="276"/>
      <c r="G238" s="276"/>
      <c r="H238" s="276"/>
      <c r="I238" s="276"/>
      <c r="J238" s="276"/>
      <c r="K238" s="276"/>
      <c r="L238" s="424">
        <v>144</v>
      </c>
      <c r="M238" s="296">
        <f>IF(L238&lt;=B.2!$G$41,B.2!$H$41,IF(AND(L238&lt;=B.2!$G$40,L238&gt;B.2!$G$41),0+((B.2!$H$41-B.2!$H$40)/(B.2!$G$41-B.2!$G$40))*(L238-B.2!$G$40),0))</f>
        <v>0</v>
      </c>
      <c r="N238" s="276"/>
      <c r="O238" s="276"/>
      <c r="P238" s="276"/>
      <c r="Q238" s="276"/>
      <c r="R238" s="295"/>
      <c r="S238" s="420"/>
      <c r="T238" s="420"/>
      <c r="U238" s="420"/>
      <c r="V238" s="420"/>
      <c r="W238" s="420"/>
      <c r="X238" s="420"/>
      <c r="Y238" s="420"/>
      <c r="Z238" s="420"/>
      <c r="AA238" s="420"/>
      <c r="AB238" s="420"/>
      <c r="AC238" s="423">
        <v>144</v>
      </c>
      <c r="AD238" s="297">
        <f>IF(AC238&lt;=B.2!$L$41,B.2!$M$41,IF(AND(AC238&lt;=B.2!$L$40,AC238&gt;B.2!$L$41),0+((B.2!$M$41-B.2!$M$40)/(B.2!$L$41-B.2!$L$40))*(AC238-B.2!$L$40),0))</f>
        <v>2.3300970873786406</v>
      </c>
      <c r="AE238" s="420"/>
      <c r="AF238" s="420"/>
      <c r="AG238" s="420"/>
      <c r="AH238" s="146"/>
    </row>
    <row r="239" spans="2:34">
      <c r="B239" s="145"/>
      <c r="C239" s="276"/>
      <c r="D239" s="276"/>
      <c r="E239" s="276"/>
      <c r="F239" s="276"/>
      <c r="G239" s="276"/>
      <c r="H239" s="276"/>
      <c r="I239" s="276"/>
      <c r="J239" s="276"/>
      <c r="K239" s="276"/>
      <c r="L239" s="424">
        <v>145</v>
      </c>
      <c r="M239" s="296">
        <f>IF(L239&lt;=B.2!$G$41,B.2!$H$41,IF(AND(L239&lt;=B.2!$G$40,L239&gt;B.2!$G$41),0+((B.2!$H$41-B.2!$H$40)/(B.2!$G$41-B.2!$G$40))*(L239-B.2!$G$40),0))</f>
        <v>0</v>
      </c>
      <c r="N239" s="276"/>
      <c r="O239" s="276"/>
      <c r="P239" s="276"/>
      <c r="Q239" s="276"/>
      <c r="R239" s="295"/>
      <c r="S239" s="420"/>
      <c r="T239" s="420"/>
      <c r="U239" s="420"/>
      <c r="V239" s="420"/>
      <c r="W239" s="420"/>
      <c r="X239" s="420"/>
      <c r="Y239" s="420"/>
      <c r="Z239" s="420"/>
      <c r="AA239" s="420"/>
      <c r="AB239" s="420"/>
      <c r="AC239" s="423">
        <v>145</v>
      </c>
      <c r="AD239" s="297">
        <f>IF(AC239&lt;=B.2!$L$41,B.2!$M$41,IF(AND(AC239&lt;=B.2!$L$40,AC239&gt;B.2!$L$41),0+((B.2!$M$41-B.2!$M$40)/(B.2!$L$41-B.2!$L$40))*(AC239-B.2!$L$40),0))</f>
        <v>1.1650485436893203</v>
      </c>
      <c r="AE239" s="420"/>
      <c r="AF239" s="420"/>
      <c r="AG239" s="420"/>
      <c r="AH239" s="146"/>
    </row>
    <row r="240" spans="2:34">
      <c r="B240" s="145"/>
      <c r="C240" s="276"/>
      <c r="D240" s="276"/>
      <c r="E240" s="276"/>
      <c r="F240" s="276"/>
      <c r="G240" s="276"/>
      <c r="H240" s="276"/>
      <c r="I240" s="276"/>
      <c r="J240" s="276"/>
      <c r="K240" s="276"/>
      <c r="L240" s="424">
        <v>146</v>
      </c>
      <c r="M240" s="296">
        <f>IF(L240&lt;=B.2!$G$41,B.2!$H$41,IF(AND(L240&lt;=B.2!$G$40,L240&gt;B.2!$G$41),0+((B.2!$H$41-B.2!$H$40)/(B.2!$G$41-B.2!$G$40))*(L240-B.2!$G$40),0))</f>
        <v>0</v>
      </c>
      <c r="N240" s="276"/>
      <c r="O240" s="276"/>
      <c r="P240" s="276"/>
      <c r="Q240" s="276"/>
      <c r="R240" s="295"/>
      <c r="S240" s="420"/>
      <c r="T240" s="420"/>
      <c r="U240" s="420"/>
      <c r="V240" s="420"/>
      <c r="W240" s="420"/>
      <c r="X240" s="420"/>
      <c r="Y240" s="420"/>
      <c r="Z240" s="420"/>
      <c r="AA240" s="420"/>
      <c r="AB240" s="420"/>
      <c r="AC240" s="423">
        <v>146</v>
      </c>
      <c r="AD240" s="297">
        <f>IF(AC240&lt;=B.2!$L$41,B.2!$M$41,IF(AND(AC240&lt;=B.2!$L$40,AC240&gt;B.2!$L$41),0+((B.2!$M$41-B.2!$M$40)/(B.2!$L$41-B.2!$L$40))*(AC240-B.2!$L$40),0))</f>
        <v>0</v>
      </c>
      <c r="AE240" s="420"/>
      <c r="AF240" s="420"/>
      <c r="AG240" s="420"/>
      <c r="AH240" s="146"/>
    </row>
    <row r="241" spans="2:34">
      <c r="B241" s="145"/>
      <c r="C241" s="276"/>
      <c r="D241" s="276"/>
      <c r="E241" s="276"/>
      <c r="F241" s="276"/>
      <c r="G241" s="276"/>
      <c r="H241" s="276"/>
      <c r="I241" s="276"/>
      <c r="J241" s="276"/>
      <c r="K241" s="276"/>
      <c r="L241" s="424">
        <v>147</v>
      </c>
      <c r="M241" s="296">
        <f>IF(L241&lt;=B.2!$G$41,B.2!$H$41,IF(AND(L241&lt;=B.2!$G$40,L241&gt;B.2!$G$41),0+((B.2!$H$41-B.2!$H$40)/(B.2!$G$41-B.2!$G$40))*(L241-B.2!$G$40),0))</f>
        <v>0</v>
      </c>
      <c r="N241" s="276"/>
      <c r="O241" s="276"/>
      <c r="P241" s="276"/>
      <c r="Q241" s="276"/>
      <c r="R241" s="295"/>
      <c r="S241" s="420"/>
      <c r="T241" s="420"/>
      <c r="U241" s="420"/>
      <c r="V241" s="420"/>
      <c r="W241" s="420"/>
      <c r="X241" s="420"/>
      <c r="Y241" s="420"/>
      <c r="Z241" s="420"/>
      <c r="AA241" s="420"/>
      <c r="AB241" s="420"/>
      <c r="AC241" s="423">
        <v>147</v>
      </c>
      <c r="AD241" s="297">
        <f>IF(AC241&lt;=B.2!$L$41,B.2!$M$41,IF(AND(AC241&lt;=B.2!$L$40,AC241&gt;B.2!$L$41),0+((B.2!$M$41-B.2!$M$40)/(B.2!$L$41-B.2!$L$40))*(AC241-B.2!$L$40),0))</f>
        <v>0</v>
      </c>
      <c r="AE241" s="420"/>
      <c r="AF241" s="420"/>
      <c r="AG241" s="420"/>
      <c r="AH241" s="146"/>
    </row>
    <row r="242" spans="2:34">
      <c r="B242" s="145"/>
      <c r="C242" s="276"/>
      <c r="D242" s="276"/>
      <c r="E242" s="276"/>
      <c r="F242" s="276"/>
      <c r="G242" s="276"/>
      <c r="H242" s="276"/>
      <c r="I242" s="276"/>
      <c r="J242" s="276"/>
      <c r="K242" s="276"/>
      <c r="L242" s="424">
        <v>148</v>
      </c>
      <c r="M242" s="296">
        <f>IF(L242&lt;=B.2!$G$41,B.2!$H$41,IF(AND(L242&lt;=B.2!$G$40,L242&gt;B.2!$G$41),0+((B.2!$H$41-B.2!$H$40)/(B.2!$G$41-B.2!$G$40))*(L242-B.2!$G$40),0))</f>
        <v>0</v>
      </c>
      <c r="N242" s="276"/>
      <c r="O242" s="276"/>
      <c r="P242" s="276"/>
      <c r="Q242" s="276"/>
      <c r="R242" s="295"/>
      <c r="S242" s="420"/>
      <c r="T242" s="420"/>
      <c r="U242" s="420"/>
      <c r="V242" s="420"/>
      <c r="W242" s="420"/>
      <c r="X242" s="420"/>
      <c r="Y242" s="420"/>
      <c r="Z242" s="420"/>
      <c r="AA242" s="420"/>
      <c r="AB242" s="420"/>
      <c r="AC242" s="423">
        <v>148</v>
      </c>
      <c r="AD242" s="297">
        <f>IF(AC242&lt;=B.2!$L$41,B.2!$M$41,IF(AND(AC242&lt;=B.2!$L$40,AC242&gt;B.2!$L$41),0+((B.2!$M$41-B.2!$M$40)/(B.2!$L$41-B.2!$L$40))*(AC242-B.2!$L$40),0))</f>
        <v>0</v>
      </c>
      <c r="AE242" s="420"/>
      <c r="AF242" s="420"/>
      <c r="AG242" s="420"/>
      <c r="AH242" s="146"/>
    </row>
    <row r="243" spans="2:34">
      <c r="B243" s="145"/>
      <c r="C243" s="276"/>
      <c r="D243" s="276"/>
      <c r="E243" s="276"/>
      <c r="F243" s="276"/>
      <c r="G243" s="276"/>
      <c r="H243" s="276"/>
      <c r="I243" s="276"/>
      <c r="J243" s="276"/>
      <c r="K243" s="276"/>
      <c r="L243" s="424">
        <v>149</v>
      </c>
      <c r="M243" s="296">
        <f>IF(L243&lt;=B.2!$G$41,B.2!$H$41,IF(AND(L243&lt;=B.2!$G$40,L243&gt;B.2!$G$41),0+((B.2!$H$41-B.2!$H$40)/(B.2!$G$41-B.2!$G$40))*(L243-B.2!$G$40),0))</f>
        <v>0</v>
      </c>
      <c r="N243" s="276"/>
      <c r="O243" s="276"/>
      <c r="P243" s="276"/>
      <c r="Q243" s="276"/>
      <c r="R243" s="295"/>
      <c r="S243" s="420"/>
      <c r="T243" s="420"/>
      <c r="U243" s="420"/>
      <c r="V243" s="420"/>
      <c r="W243" s="420"/>
      <c r="X243" s="420"/>
      <c r="Y243" s="420"/>
      <c r="Z243" s="420"/>
      <c r="AA243" s="420"/>
      <c r="AB243" s="420"/>
      <c r="AC243" s="423">
        <v>149</v>
      </c>
      <c r="AD243" s="297">
        <f>IF(AC243&lt;=B.2!$L$41,B.2!$M$41,IF(AND(AC243&lt;=B.2!$L$40,AC243&gt;B.2!$L$41),0+((B.2!$M$41-B.2!$M$40)/(B.2!$L$41-B.2!$L$40))*(AC243-B.2!$L$40),0))</f>
        <v>0</v>
      </c>
      <c r="AE243" s="420"/>
      <c r="AF243" s="420"/>
      <c r="AG243" s="420"/>
      <c r="AH243" s="146"/>
    </row>
    <row r="244" spans="2:34">
      <c r="B244" s="145"/>
      <c r="C244" s="276"/>
      <c r="D244" s="276"/>
      <c r="E244" s="276"/>
      <c r="F244" s="276"/>
      <c r="G244" s="276"/>
      <c r="H244" s="276"/>
      <c r="I244" s="276"/>
      <c r="J244" s="276"/>
      <c r="K244" s="276"/>
      <c r="L244" s="424">
        <v>150</v>
      </c>
      <c r="M244" s="296">
        <f>IF(L244&lt;=B.2!$G$41,B.2!$H$41,IF(AND(L244&lt;=B.2!$G$40,L244&gt;B.2!$G$41),0+((B.2!$H$41-B.2!$H$40)/(B.2!$G$41-B.2!$G$40))*(L244-B.2!$G$40),0))</f>
        <v>0</v>
      </c>
      <c r="N244" s="276"/>
      <c r="O244" s="276"/>
      <c r="P244" s="276"/>
      <c r="Q244" s="276"/>
      <c r="R244" s="295"/>
      <c r="S244" s="420"/>
      <c r="T244" s="420"/>
      <c r="U244" s="420"/>
      <c r="V244" s="420"/>
      <c r="W244" s="420"/>
      <c r="X244" s="420"/>
      <c r="Y244" s="420"/>
      <c r="Z244" s="420"/>
      <c r="AA244" s="420"/>
      <c r="AB244" s="420"/>
      <c r="AC244" s="423">
        <v>150</v>
      </c>
      <c r="AD244" s="297">
        <f>IF(AC244&lt;=B.2!$L$41,B.2!$M$41,IF(AND(AC244&lt;=B.2!$L$40,AC244&gt;B.2!$L$41),0+((B.2!$M$41-B.2!$M$40)/(B.2!$L$41-B.2!$L$40))*(AC244-B.2!$L$40),0))</f>
        <v>0</v>
      </c>
      <c r="AE244" s="420"/>
      <c r="AF244" s="420"/>
      <c r="AG244" s="420"/>
      <c r="AH244" s="146"/>
    </row>
    <row r="245" spans="2:34">
      <c r="B245" s="145"/>
      <c r="C245" s="276"/>
      <c r="D245" s="276"/>
      <c r="E245" s="276"/>
      <c r="F245" s="276"/>
      <c r="G245" s="276"/>
      <c r="H245" s="276"/>
      <c r="I245" s="276"/>
      <c r="J245" s="276"/>
      <c r="K245" s="276"/>
      <c r="L245" s="276"/>
      <c r="M245" s="276"/>
      <c r="N245" s="276"/>
      <c r="O245" s="276"/>
      <c r="P245" s="276"/>
      <c r="Q245" s="276"/>
      <c r="R245" s="295"/>
      <c r="S245" s="420"/>
      <c r="T245" s="420"/>
      <c r="U245" s="420"/>
      <c r="V245" s="420"/>
      <c r="W245" s="420"/>
      <c r="X245" s="420"/>
      <c r="Y245" s="420"/>
      <c r="Z245" s="420"/>
      <c r="AA245" s="420"/>
      <c r="AB245" s="420"/>
      <c r="AC245" s="420"/>
      <c r="AD245" s="420"/>
      <c r="AE245" s="420"/>
      <c r="AF245" s="420"/>
      <c r="AG245" s="420"/>
      <c r="AH245" s="146"/>
    </row>
    <row r="246" spans="2:34">
      <c r="B246" s="145"/>
      <c r="C246" s="276"/>
      <c r="D246" s="276"/>
      <c r="E246" s="276"/>
      <c r="F246" s="276"/>
      <c r="G246" s="276"/>
      <c r="H246" s="276"/>
      <c r="I246" s="276"/>
      <c r="J246" s="276"/>
      <c r="K246" s="276"/>
      <c r="L246" s="276"/>
      <c r="M246" s="276"/>
      <c r="N246" s="276"/>
      <c r="O246" s="276"/>
      <c r="P246" s="276"/>
      <c r="Q246" s="276"/>
      <c r="R246" s="295"/>
      <c r="S246" s="420"/>
      <c r="T246" s="420"/>
      <c r="U246" s="420"/>
      <c r="V246" s="420"/>
      <c r="W246" s="420"/>
      <c r="X246" s="420"/>
      <c r="Y246" s="420"/>
      <c r="Z246" s="420"/>
      <c r="AA246" s="420"/>
      <c r="AB246" s="420"/>
      <c r="AC246" s="420"/>
      <c r="AD246" s="420"/>
      <c r="AE246" s="420"/>
      <c r="AF246" s="420"/>
      <c r="AG246" s="420"/>
      <c r="AH246" s="146"/>
    </row>
    <row r="247" spans="2:34">
      <c r="B247" s="145"/>
      <c r="C247" s="145"/>
      <c r="D247" s="145"/>
      <c r="E247" s="145"/>
      <c r="F247" s="145"/>
      <c r="G247" s="145"/>
      <c r="H247" s="145"/>
      <c r="I247" s="145"/>
      <c r="J247" s="145"/>
      <c r="K247" s="145"/>
      <c r="L247" s="145"/>
      <c r="M247" s="145"/>
      <c r="N247" s="145"/>
      <c r="O247" s="145"/>
      <c r="P247" s="145"/>
      <c r="Q247" s="145"/>
      <c r="S247" s="146"/>
      <c r="T247" s="146"/>
      <c r="U247" s="146"/>
      <c r="V247" s="146"/>
      <c r="W247" s="146"/>
      <c r="X247" s="146"/>
      <c r="Y247" s="146"/>
      <c r="Z247" s="146"/>
      <c r="AA247" s="146"/>
      <c r="AB247" s="146"/>
      <c r="AC247" s="146"/>
      <c r="AD247" s="146"/>
      <c r="AE247" s="146"/>
      <c r="AF247" s="146"/>
      <c r="AG247" s="146"/>
      <c r="AH247" s="146"/>
    </row>
  </sheetData>
  <sheetProtection algorithmName="SHA-512" hashValue="2guIQ8j6LwBbad3ny0gmmBApZM5x3EeXY9xn+7OyWSrq63p8WPLsE2zNkQqCN1uuCPtEWtF9E4/ydVXiUvlt/A==" saltValue="+MXD6jYOGKqj8Mja6rnTQw==" spinCount="100000" sheet="1" objects="1" scenarios="1"/>
  <mergeCells count="22">
    <mergeCell ref="F92:G92"/>
    <mergeCell ref="W92:X92"/>
    <mergeCell ref="O92:P92"/>
    <mergeCell ref="AF92:AG92"/>
    <mergeCell ref="B2:Q3"/>
    <mergeCell ref="S2:AH3"/>
    <mergeCell ref="C92:D92"/>
    <mergeCell ref="I92:J92"/>
    <mergeCell ref="L92:M92"/>
    <mergeCell ref="T92:U92"/>
    <mergeCell ref="Z92:AA92"/>
    <mergeCell ref="AC92:AD92"/>
    <mergeCell ref="C91:D91"/>
    <mergeCell ref="F91:G91"/>
    <mergeCell ref="I91:J91"/>
    <mergeCell ref="L91:M91"/>
    <mergeCell ref="AF91:AG91"/>
    <mergeCell ref="O91:P91"/>
    <mergeCell ref="T91:U91"/>
    <mergeCell ref="W91:X91"/>
    <mergeCell ref="Z91:AA91"/>
    <mergeCell ref="AC91:AD91"/>
  </mergeCells>
  <pageMargins left="0.7" right="0.7" top="0.78740157499999996" bottom="0.78740157499999996" header="0.3" footer="0.3"/>
  <pageSetup paperSize="9" scale="2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pageSetUpPr fitToPage="1"/>
  </sheetPr>
  <dimension ref="A1:F6"/>
  <sheetViews>
    <sheetView showGridLines="0" zoomScale="85" zoomScaleNormal="85" workbookViewId="0">
      <selection activeCell="F5" sqref="F5"/>
    </sheetView>
  </sheetViews>
  <sheetFormatPr baseColWidth="10" defaultColWidth="11.42578125" defaultRowHeight="14.25"/>
  <cols>
    <col min="1" max="1" width="33.28515625" style="102" customWidth="1"/>
    <col min="2" max="2" width="66.5703125" style="102" customWidth="1"/>
    <col min="3" max="3" width="19.5703125" style="102" customWidth="1"/>
    <col min="4" max="4" width="30.7109375" style="450" customWidth="1"/>
    <col min="5" max="5" width="11.42578125" style="102" hidden="1" customWidth="1"/>
    <col min="6" max="6" width="14" style="102" customWidth="1"/>
    <col min="7" max="16384" width="11.42578125" style="102"/>
  </cols>
  <sheetData>
    <row r="1" spans="1:6" ht="24.95" customHeight="1">
      <c r="A1" s="820" t="s">
        <v>473</v>
      </c>
      <c r="B1" s="820"/>
      <c r="C1" s="820"/>
      <c r="D1" s="449"/>
    </row>
    <row r="2" spans="1:6" ht="7.5" customHeight="1" thickBot="1">
      <c r="A2" s="79"/>
      <c r="B2" s="103"/>
      <c r="C2" s="80"/>
      <c r="D2" s="432"/>
    </row>
    <row r="3" spans="1:6" ht="32.25" thickBot="1">
      <c r="A3" s="573" t="s">
        <v>18</v>
      </c>
      <c r="B3" s="581" t="s">
        <v>16</v>
      </c>
      <c r="C3" s="582" t="s">
        <v>311</v>
      </c>
      <c r="D3" s="599" t="s">
        <v>20</v>
      </c>
      <c r="E3" s="108">
        <v>0</v>
      </c>
      <c r="F3" s="452" t="s">
        <v>225</v>
      </c>
    </row>
    <row r="4" spans="1:6" ht="21" customHeight="1">
      <c r="A4" s="985" t="s">
        <v>448</v>
      </c>
      <c r="B4" s="603" t="s">
        <v>471</v>
      </c>
      <c r="C4" s="328">
        <v>5</v>
      </c>
      <c r="D4" s="987"/>
      <c r="E4" s="108">
        <v>5</v>
      </c>
      <c r="F4" s="459"/>
    </row>
    <row r="5" spans="1:6" ht="24.75" customHeight="1" thickBot="1">
      <c r="A5" s="986"/>
      <c r="B5" s="193" t="s">
        <v>472</v>
      </c>
      <c r="C5" s="511">
        <v>10</v>
      </c>
      <c r="D5" s="988"/>
      <c r="E5" s="108">
        <v>10</v>
      </c>
      <c r="F5" s="459"/>
    </row>
    <row r="6" spans="1:6" ht="16.5" thickBot="1">
      <c r="A6" s="924" t="s">
        <v>19</v>
      </c>
      <c r="B6" s="925"/>
      <c r="C6" s="528"/>
      <c r="D6" s="536">
        <f>D4</f>
        <v>0</v>
      </c>
      <c r="E6" s="232"/>
      <c r="F6" s="441"/>
    </row>
  </sheetData>
  <sheetProtection algorithmName="SHA-512" hashValue="TUjx59XP2P6RZ8sVKd7ukQONfEMYQ4vRNS5BF4KJHp+ftnmsLdilNk55oCOKTF3VidMDiOdyI9F7b5qFT36XrQ==" saltValue="AcbmEmpQB36+iVgBG3nggA==" spinCount="100000" sheet="1" selectLockedCells="1"/>
  <mergeCells count="4">
    <mergeCell ref="A6:B6"/>
    <mergeCell ref="A4:A5"/>
    <mergeCell ref="A1:C1"/>
    <mergeCell ref="D4:D5"/>
  </mergeCells>
  <dataValidations count="1">
    <dataValidation type="list" allowBlank="1" showInputMessage="1" showErrorMessage="1" errorTitle="Falscher Wert!" error="Bitte geben Sie die Zahl 0 oder 5 ein." sqref="D4:D5" xr:uid="{00000000-0002-0000-0E00-000000000000}">
      <formula1>$E$3:$E$5</formula1>
    </dataValidation>
  </dataValidations>
  <printOptions horizontalCentered="1"/>
  <pageMargins left="0.59055118110236227" right="0.59055118110236227" top="0.59055118110236227" bottom="0.59055118110236227" header="0.31496062992125984" footer="0.31496062992125984"/>
  <pageSetup paperSize="9" scale="9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3">
    <pageSetUpPr fitToPage="1"/>
  </sheetPr>
  <dimension ref="A1:N14"/>
  <sheetViews>
    <sheetView showGridLines="0" topLeftCell="B1" zoomScale="85" zoomScaleNormal="85" workbookViewId="0">
      <selection activeCell="C5" sqref="C5:C8"/>
    </sheetView>
  </sheetViews>
  <sheetFormatPr baseColWidth="10" defaultColWidth="11.42578125" defaultRowHeight="12.75"/>
  <cols>
    <col min="1" max="1" width="112" style="78" customWidth="1"/>
    <col min="2" max="2" width="21.7109375" style="78" customWidth="1"/>
    <col min="3" max="3" width="17.5703125" style="78" customWidth="1"/>
    <col min="4" max="6" width="11.42578125" style="78" hidden="1" customWidth="1"/>
    <col min="7" max="7" width="1" style="78" hidden="1" customWidth="1"/>
    <col min="8" max="8" width="30.7109375" style="84" customWidth="1"/>
    <col min="9" max="9" width="11.42578125" style="78"/>
    <col min="10" max="11" width="13.7109375" style="78" customWidth="1"/>
    <col min="12" max="12" width="12.140625" style="78" customWidth="1"/>
    <col min="13" max="16384" width="11.42578125" style="78"/>
  </cols>
  <sheetData>
    <row r="1" spans="1:14" s="106" customFormat="1" ht="24.95" customHeight="1">
      <c r="A1" s="820" t="s">
        <v>452</v>
      </c>
      <c r="B1" s="820"/>
      <c r="C1" s="820"/>
      <c r="D1" s="105"/>
      <c r="E1" s="105"/>
      <c r="F1" s="105"/>
      <c r="G1" s="105"/>
      <c r="H1" s="451"/>
    </row>
    <row r="2" spans="1:14" s="106" customFormat="1" ht="7.5" customHeight="1" thickBot="1">
      <c r="A2" s="105"/>
      <c r="B2" s="105"/>
      <c r="C2" s="105"/>
      <c r="D2" s="105"/>
      <c r="E2" s="105"/>
      <c r="F2" s="105"/>
      <c r="G2" s="105"/>
      <c r="H2" s="451"/>
    </row>
    <row r="3" spans="1:14" ht="32.25" customHeight="1" thickBot="1">
      <c r="A3" s="588" t="s">
        <v>18</v>
      </c>
      <c r="B3" s="574" t="s">
        <v>312</v>
      </c>
      <c r="C3" s="589" t="s">
        <v>21</v>
      </c>
      <c r="H3" s="452" t="s">
        <v>225</v>
      </c>
      <c r="J3" s="992" t="s">
        <v>361</v>
      </c>
      <c r="K3" s="993"/>
      <c r="L3" s="993"/>
      <c r="M3" s="994"/>
    </row>
    <row r="4" spans="1:14" s="81" customFormat="1" ht="30.2" customHeight="1" thickBot="1">
      <c r="A4" s="732" t="s">
        <v>320</v>
      </c>
      <c r="B4" s="733"/>
      <c r="C4" s="587"/>
      <c r="D4" s="81">
        <v>0</v>
      </c>
      <c r="H4" s="461"/>
      <c r="J4" s="995" t="s">
        <v>362</v>
      </c>
      <c r="K4" s="996"/>
      <c r="L4" s="353"/>
      <c r="M4" s="354" t="s">
        <v>363</v>
      </c>
    </row>
    <row r="5" spans="1:14" s="81" customFormat="1" ht="30.2" customHeight="1">
      <c r="A5" s="734" t="s">
        <v>360</v>
      </c>
      <c r="B5" s="328">
        <v>20</v>
      </c>
      <c r="C5" s="989"/>
      <c r="D5" s="81">
        <f>B5</f>
        <v>20</v>
      </c>
      <c r="H5" s="460"/>
      <c r="J5" s="997" t="s">
        <v>364</v>
      </c>
      <c r="K5" s="998"/>
      <c r="L5" s="332">
        <f>(450/2860)*L4</f>
        <v>0</v>
      </c>
      <c r="M5" s="330" t="s">
        <v>365</v>
      </c>
    </row>
    <row r="6" spans="1:14" s="81" customFormat="1" ht="30.2" customHeight="1" thickBot="1">
      <c r="A6" s="104" t="s">
        <v>390</v>
      </c>
      <c r="B6" s="327">
        <v>30</v>
      </c>
      <c r="C6" s="990"/>
      <c r="D6" s="81">
        <f>B6</f>
        <v>30</v>
      </c>
      <c r="H6" s="460"/>
      <c r="I6" s="107"/>
      <c r="J6" s="999" t="s">
        <v>372</v>
      </c>
      <c r="K6" s="1000"/>
      <c r="L6" s="197">
        <f>L5*0.8</f>
        <v>0</v>
      </c>
      <c r="M6" s="331" t="s">
        <v>365</v>
      </c>
      <c r="N6" s="107"/>
    </row>
    <row r="7" spans="1:14" s="81" customFormat="1" ht="30.2" customHeight="1">
      <c r="A7" s="104" t="s">
        <v>376</v>
      </c>
      <c r="B7" s="327">
        <v>50</v>
      </c>
      <c r="C7" s="990"/>
      <c r="D7" s="81">
        <f>B7</f>
        <v>50</v>
      </c>
      <c r="H7" s="460"/>
      <c r="I7" s="107"/>
      <c r="J7" s="107"/>
      <c r="K7" s="107"/>
      <c r="L7" s="107"/>
      <c r="M7" s="107"/>
      <c r="N7" s="107"/>
    </row>
    <row r="8" spans="1:14" s="107" customFormat="1" ht="30.2" customHeight="1" thickBot="1">
      <c r="A8" s="555" t="s">
        <v>377</v>
      </c>
      <c r="B8" s="512">
        <v>65</v>
      </c>
      <c r="C8" s="991"/>
      <c r="D8" s="81">
        <f>B8</f>
        <v>65</v>
      </c>
      <c r="E8" s="81"/>
      <c r="F8" s="81"/>
      <c r="G8" s="81"/>
      <c r="H8" s="460"/>
    </row>
    <row r="9" spans="1:14" s="107" customFormat="1" ht="30.2" customHeight="1" thickBot="1">
      <c r="A9" s="732" t="s">
        <v>321</v>
      </c>
      <c r="B9" s="733"/>
      <c r="C9" s="329"/>
      <c r="D9" s="81"/>
      <c r="E9" s="81"/>
      <c r="F9" s="81"/>
      <c r="G9" s="81"/>
      <c r="H9" s="459"/>
    </row>
    <row r="10" spans="1:14" s="107" customFormat="1" ht="30.2" customHeight="1" thickBot="1">
      <c r="A10" s="731" t="s">
        <v>332</v>
      </c>
      <c r="B10" s="512">
        <v>10</v>
      </c>
      <c r="C10" s="254"/>
      <c r="D10" s="81">
        <v>0</v>
      </c>
      <c r="E10" s="81"/>
      <c r="F10" s="81"/>
      <c r="G10" s="81"/>
      <c r="H10" s="459"/>
    </row>
    <row r="11" spans="1:14" ht="24.95" customHeight="1" thickBot="1">
      <c r="A11" s="584" t="s">
        <v>19</v>
      </c>
      <c r="B11" s="585" t="s">
        <v>313</v>
      </c>
      <c r="C11" s="586">
        <f>C5+C10</f>
        <v>0</v>
      </c>
      <c r="D11" s="81">
        <v>10</v>
      </c>
      <c r="E11" s="107"/>
      <c r="F11" s="107"/>
      <c r="H11" s="435"/>
    </row>
    <row r="12" spans="1:14">
      <c r="D12" s="81"/>
    </row>
    <row r="14" spans="1:14" ht="51" customHeight="1">
      <c r="A14" s="813" t="s">
        <v>378</v>
      </c>
      <c r="B14" s="813"/>
      <c r="C14" s="813"/>
    </row>
  </sheetData>
  <sheetProtection algorithmName="SHA-512" hashValue="B9Hzmrx1o196ajs3Sa3RdptR1BCTsI5REAsn/WDM6+bVF7U7Kp6OfJfczsZ5Dk1+zFy9IpLzKYFCWJAZL/fkJQ==" saltValue="3lpwOElrrQDYMmnEgPtpvQ==" spinCount="100000" sheet="1" selectLockedCells="1"/>
  <mergeCells count="7">
    <mergeCell ref="A1:C1"/>
    <mergeCell ref="C5:C8"/>
    <mergeCell ref="A14:C14"/>
    <mergeCell ref="J3:M3"/>
    <mergeCell ref="J4:K4"/>
    <mergeCell ref="J5:K5"/>
    <mergeCell ref="J6:K6"/>
  </mergeCells>
  <phoneticPr fontId="44" type="noConversion"/>
  <dataValidations count="2">
    <dataValidation type="list" allowBlank="1" showInputMessage="1" showErrorMessage="1" sqref="C10" xr:uid="{00000000-0002-0000-0F00-000000000000}">
      <formula1>$D$10:$D$11</formula1>
    </dataValidation>
    <dataValidation type="list" allowBlank="1" showInputMessage="1" showErrorMessage="1" sqref="C5:C8" xr:uid="{00000000-0002-0000-0F00-000001000000}">
      <formula1>$D$4:$D$8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pageSetUpPr fitToPage="1"/>
  </sheetPr>
  <dimension ref="A1:F14"/>
  <sheetViews>
    <sheetView showGridLines="0" workbookViewId="0">
      <selection activeCell="D10" sqref="D10:D13"/>
    </sheetView>
  </sheetViews>
  <sheetFormatPr baseColWidth="10" defaultColWidth="11.42578125" defaultRowHeight="12.75"/>
  <cols>
    <col min="1" max="1" width="11.42578125" style="78"/>
    <col min="2" max="2" width="20.42578125" style="78" customWidth="1"/>
    <col min="3" max="3" width="23.140625" style="78" customWidth="1"/>
    <col min="4" max="4" width="16.85546875" style="78" customWidth="1"/>
    <col min="5" max="5" width="11.42578125" style="78" hidden="1" customWidth="1"/>
    <col min="6" max="6" width="30.7109375" style="84" customWidth="1"/>
    <col min="7" max="16384" width="11.42578125" style="78"/>
  </cols>
  <sheetData>
    <row r="1" spans="1:6" ht="24.95" customHeight="1">
      <c r="A1" s="820" t="s">
        <v>451</v>
      </c>
      <c r="B1" s="820"/>
      <c r="C1" s="820"/>
      <c r="D1" s="820"/>
    </row>
    <row r="2" spans="1:6" ht="7.5" customHeight="1" thickBot="1">
      <c r="A2" s="79"/>
      <c r="B2" s="79"/>
      <c r="C2" s="79"/>
      <c r="D2" s="79"/>
    </row>
    <row r="3" spans="1:6" s="81" customFormat="1" ht="24.95" customHeight="1" thickBot="1">
      <c r="A3" s="1001" t="s">
        <v>22</v>
      </c>
      <c r="B3" s="1002"/>
      <c r="C3" s="1002"/>
      <c r="D3" s="596" t="s">
        <v>20</v>
      </c>
      <c r="F3" s="452" t="s">
        <v>225</v>
      </c>
    </row>
    <row r="4" spans="1:6" s="81" customFormat="1" ht="24.95" customHeight="1">
      <c r="A4" s="593" t="s">
        <v>23</v>
      </c>
      <c r="B4" s="594" t="s">
        <v>24</v>
      </c>
      <c r="C4" s="595" t="s">
        <v>25</v>
      </c>
      <c r="D4" s="1006"/>
      <c r="E4" s="81">
        <v>0</v>
      </c>
      <c r="F4" s="460"/>
    </row>
    <row r="5" spans="1:6" s="81" customFormat="1" ht="24.95" customHeight="1">
      <c r="A5" s="110" t="s">
        <v>26</v>
      </c>
      <c r="B5" s="111" t="s">
        <v>27</v>
      </c>
      <c r="C5" s="112" t="s">
        <v>28</v>
      </c>
      <c r="D5" s="1006"/>
      <c r="E5" s="81">
        <v>20</v>
      </c>
      <c r="F5" s="460"/>
    </row>
    <row r="6" spans="1:6" s="81" customFormat="1" ht="24.95" customHeight="1">
      <c r="A6" s="110" t="s">
        <v>29</v>
      </c>
      <c r="B6" s="111" t="s">
        <v>30</v>
      </c>
      <c r="C6" s="112" t="s">
        <v>31</v>
      </c>
      <c r="D6" s="1006"/>
      <c r="E6" s="81">
        <v>35</v>
      </c>
      <c r="F6" s="460"/>
    </row>
    <row r="7" spans="1:6" s="81" customFormat="1" ht="30.95" customHeight="1">
      <c r="A7" s="110" t="s">
        <v>32</v>
      </c>
      <c r="B7" s="111" t="s">
        <v>33</v>
      </c>
      <c r="C7" s="112" t="s">
        <v>34</v>
      </c>
      <c r="D7" s="1006"/>
      <c r="E7" s="81">
        <v>50</v>
      </c>
      <c r="F7" s="460"/>
    </row>
    <row r="8" spans="1:6" s="81" customFormat="1" ht="24.95" customHeight="1">
      <c r="A8" s="113"/>
      <c r="B8" s="111" t="s">
        <v>35</v>
      </c>
      <c r="C8" s="112" t="s">
        <v>36</v>
      </c>
      <c r="D8" s="1007"/>
      <c r="F8" s="460"/>
    </row>
    <row r="9" spans="1:6" s="81" customFormat="1" ht="24.95" customHeight="1">
      <c r="A9" s="1003" t="s">
        <v>37</v>
      </c>
      <c r="B9" s="1004"/>
      <c r="C9" s="1005"/>
      <c r="D9" s="352"/>
      <c r="F9" s="460"/>
    </row>
    <row r="10" spans="1:6" s="81" customFormat="1" ht="24.95" customHeight="1">
      <c r="A10" s="110" t="s">
        <v>23</v>
      </c>
      <c r="B10" s="111" t="s">
        <v>38</v>
      </c>
      <c r="C10" s="112" t="s">
        <v>31</v>
      </c>
      <c r="D10" s="806"/>
      <c r="E10" s="81">
        <v>0</v>
      </c>
      <c r="F10" s="460"/>
    </row>
    <row r="11" spans="1:6" s="81" customFormat="1" ht="24.95" customHeight="1">
      <c r="A11" s="110" t="s">
        <v>26</v>
      </c>
      <c r="B11" s="111" t="s">
        <v>39</v>
      </c>
      <c r="C11" s="112" t="s">
        <v>41</v>
      </c>
      <c r="D11" s="806"/>
      <c r="E11" s="81">
        <v>5</v>
      </c>
      <c r="F11" s="460"/>
    </row>
    <row r="12" spans="1:6" s="81" customFormat="1" ht="24.95" customHeight="1">
      <c r="A12" s="110" t="s">
        <v>29</v>
      </c>
      <c r="B12" s="111" t="s">
        <v>40</v>
      </c>
      <c r="C12" s="112" t="s">
        <v>44</v>
      </c>
      <c r="D12" s="806"/>
      <c r="E12" s="81">
        <v>10</v>
      </c>
      <c r="F12" s="460"/>
    </row>
    <row r="13" spans="1:6" s="81" customFormat="1" ht="32.450000000000003" customHeight="1" thickBot="1">
      <c r="A13" s="590" t="s">
        <v>32</v>
      </c>
      <c r="B13" s="591" t="s">
        <v>42</v>
      </c>
      <c r="C13" s="592" t="s">
        <v>34</v>
      </c>
      <c r="D13" s="806"/>
      <c r="E13" s="81">
        <v>20</v>
      </c>
      <c r="F13" s="460"/>
    </row>
    <row r="14" spans="1:6" s="82" customFormat="1" ht="24.95" customHeight="1" thickBot="1">
      <c r="A14" s="796" t="s">
        <v>19</v>
      </c>
      <c r="B14" s="797"/>
      <c r="C14" s="798"/>
      <c r="D14" s="586">
        <f>IF(SUM(D4:D13)&lt;70,SUM(D4:D13),70)</f>
        <v>0</v>
      </c>
      <c r="F14" s="435"/>
    </row>
  </sheetData>
  <sheetProtection algorithmName="SHA-512" hashValue="E3jg5DKD1v2FjKHL1a8aPiDG/TV0ztDe0Om2JsgTvAkpYcmF8Kr+Gg8N5v46OLwLO/qMPi8H/aBWeq8Yt+ssMQ==" saltValue="aL5pq6jp6K95/O4461074A==" spinCount="100000" sheet="1" selectLockedCells="1"/>
  <mergeCells count="6">
    <mergeCell ref="A14:C14"/>
    <mergeCell ref="A3:C3"/>
    <mergeCell ref="A9:C9"/>
    <mergeCell ref="A1:D1"/>
    <mergeCell ref="D4:D8"/>
    <mergeCell ref="D10:D13"/>
  </mergeCells>
  <phoneticPr fontId="44" type="noConversion"/>
  <dataValidations count="2">
    <dataValidation type="list" allowBlank="1" showInputMessage="1" showErrorMessage="1" errorTitle="Falscher Wert!" error="Bitte geben Sie die Zahl 0,20,35 oder 50 ein." sqref="D4" xr:uid="{00000000-0002-0000-1000-000000000000}">
      <formula1>$E$4:$E$7</formula1>
    </dataValidation>
    <dataValidation type="list" allowBlank="1" showInputMessage="1" showErrorMessage="1" errorTitle="Falscher Wert!" error="Bitte geben Sie die Zahl 0,10,20 oder 30 ein." sqref="D10:D13" xr:uid="{00000000-0002-0000-1000-000001000000}">
      <formula1>$E$10:$E$13</formula1>
    </dataValidation>
  </dataValidations>
  <printOptions horizontalCentered="1"/>
  <pageMargins left="0.59055118110236227" right="0.59055118110236227" top="0.59055118110236227" bottom="0.59055118110236227" header="0.31496062992125984" footer="0.31496062992125984"/>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6">
    <pageSetUpPr fitToPage="1"/>
  </sheetPr>
  <dimension ref="A1:I23"/>
  <sheetViews>
    <sheetView showGridLines="0" zoomScaleNormal="100" workbookViewId="0">
      <selection activeCell="B5" sqref="B5"/>
    </sheetView>
  </sheetViews>
  <sheetFormatPr baseColWidth="10" defaultColWidth="11.42578125" defaultRowHeight="12.75"/>
  <cols>
    <col min="1" max="1" width="61.7109375" style="78" customWidth="1"/>
    <col min="2" max="2" width="23.85546875" style="78" customWidth="1"/>
    <col min="3" max="3" width="30.7109375" style="117" customWidth="1"/>
    <col min="4" max="4" width="2.7109375" style="78" customWidth="1"/>
    <col min="5" max="5" width="12.5703125" style="78" hidden="1" customWidth="1"/>
    <col min="6" max="6" width="16.7109375" style="78" hidden="1" customWidth="1"/>
    <col min="7" max="9" width="11.42578125" style="78" hidden="1" customWidth="1"/>
    <col min="10" max="16384" width="11.42578125" style="78"/>
  </cols>
  <sheetData>
    <row r="1" spans="1:9" ht="31.7" customHeight="1" thickBot="1">
      <c r="A1" s="820" t="s">
        <v>535</v>
      </c>
      <c r="B1" s="820"/>
      <c r="C1" s="84"/>
      <c r="D1" s="86"/>
      <c r="F1" s="1008" t="s">
        <v>200</v>
      </c>
      <c r="G1" s="1009"/>
      <c r="H1" s="1010"/>
    </row>
    <row r="2" spans="1:9" ht="15" customHeight="1" thickBot="1">
      <c r="A2" s="196"/>
      <c r="B2" s="79"/>
    </row>
    <row r="3" spans="1:9" s="81" customFormat="1" ht="23.1" customHeight="1" thickBot="1">
      <c r="A3" s="640" t="s">
        <v>18</v>
      </c>
      <c r="B3" s="641" t="s">
        <v>20</v>
      </c>
      <c r="C3" s="455" t="s">
        <v>225</v>
      </c>
      <c r="F3" s="404"/>
      <c r="G3" s="405" t="s">
        <v>333</v>
      </c>
      <c r="H3" s="406" t="s">
        <v>3</v>
      </c>
    </row>
    <row r="4" spans="1:9" s="81" customFormat="1" ht="23.1" customHeight="1">
      <c r="A4" s="638" t="s">
        <v>542</v>
      </c>
      <c r="B4" s="639"/>
      <c r="C4" s="474"/>
      <c r="F4" s="407" t="s">
        <v>382</v>
      </c>
      <c r="G4" s="408">
        <v>700</v>
      </c>
      <c r="H4" s="409">
        <v>0</v>
      </c>
    </row>
    <row r="5" spans="1:9" s="82" customFormat="1" ht="23.1" customHeight="1" thickBot="1">
      <c r="A5" s="81" t="s">
        <v>556</v>
      </c>
      <c r="B5" s="237"/>
      <c r="C5" s="461"/>
      <c r="F5" s="407" t="s">
        <v>383</v>
      </c>
      <c r="G5" s="408">
        <v>150</v>
      </c>
      <c r="H5" s="409">
        <v>120</v>
      </c>
    </row>
    <row r="6" spans="1:9" ht="16.5" thickBot="1">
      <c r="A6" s="666" t="s">
        <v>474</v>
      </c>
      <c r="B6" s="667">
        <f>IF(B4="",0,IF(B4&lt;=G5,H5,IF(B4&gt;G4,0,ROUND(H5+(H4-H5)/(G4-G5)*(B4-G5),H4))))</f>
        <v>0</v>
      </c>
      <c r="C6" s="456"/>
    </row>
    <row r="7" spans="1:9" ht="16.5" thickBot="1">
      <c r="A7" s="668" t="s">
        <v>534</v>
      </c>
      <c r="B7" s="669">
        <f>IF(B5="",0,IF(B5&lt;=G13,H13,IF(B5&gt;G11,0,ROUND(H13+(H11-H13)/(G11-G13)*(B5-G13),H11))))</f>
        <v>0</v>
      </c>
    </row>
    <row r="8" spans="1:9" ht="16.5" thickBot="1">
      <c r="A8" s="195" t="s">
        <v>475</v>
      </c>
      <c r="B8" s="504">
        <f>IF(SUM(B6:B7)&lt;175,SUM(B6:B7),175)</f>
        <v>0</v>
      </c>
      <c r="F8" s="1008" t="s">
        <v>200</v>
      </c>
      <c r="G8" s="1009"/>
      <c r="H8" s="1010"/>
    </row>
    <row r="9" spans="1:9" ht="13.5" thickBot="1"/>
    <row r="10" spans="1:9">
      <c r="F10" s="404"/>
      <c r="G10" s="405" t="s">
        <v>333</v>
      </c>
      <c r="H10" s="406" t="s">
        <v>3</v>
      </c>
    </row>
    <row r="11" spans="1:9" ht="15.75">
      <c r="A11" s="820" t="s">
        <v>533</v>
      </c>
      <c r="B11" s="820"/>
      <c r="C11" s="109"/>
      <c r="F11" s="407" t="s">
        <v>544</v>
      </c>
      <c r="G11" s="408">
        <v>650</v>
      </c>
      <c r="H11" s="409">
        <v>0</v>
      </c>
    </row>
    <row r="12" spans="1:9" ht="16.5" thickBot="1">
      <c r="A12" s="196"/>
      <c r="B12" s="79"/>
      <c r="C12" s="118"/>
      <c r="F12" s="407"/>
      <c r="G12" s="408"/>
      <c r="H12" s="409"/>
    </row>
    <row r="13" spans="1:9" ht="16.5" thickBot="1">
      <c r="A13" s="643" t="s">
        <v>18</v>
      </c>
      <c r="B13" s="641" t="s">
        <v>20</v>
      </c>
      <c r="C13" s="238" t="s">
        <v>225</v>
      </c>
      <c r="D13" s="81"/>
      <c r="E13" s="81"/>
      <c r="F13" s="407" t="s">
        <v>545</v>
      </c>
      <c r="G13" s="408">
        <v>50</v>
      </c>
      <c r="H13" s="662">
        <v>55</v>
      </c>
      <c r="I13" s="78" t="s">
        <v>418</v>
      </c>
    </row>
    <row r="14" spans="1:9" ht="15" thickBot="1">
      <c r="A14" s="600" t="s">
        <v>531</v>
      </c>
      <c r="B14" s="642"/>
      <c r="C14" s="476"/>
      <c r="D14" s="81"/>
      <c r="E14" s="81"/>
    </row>
    <row r="15" spans="1:9" ht="16.5" thickBot="1">
      <c r="A15" s="644" t="s">
        <v>421</v>
      </c>
      <c r="B15" s="503">
        <f>IF(B14="",0,IF(B14&lt;=G23,H23,IF(B14&gt;G22,0,ROUND(H22+(H23/(G23-G22)*(B14-G22)),H22))))</f>
        <v>0</v>
      </c>
      <c r="C15" s="194"/>
      <c r="D15" s="82"/>
      <c r="E15" s="82"/>
    </row>
    <row r="16" spans="1:9">
      <c r="A16" s="239"/>
      <c r="C16" s="118"/>
    </row>
    <row r="17" spans="3:9">
      <c r="C17" s="118"/>
    </row>
    <row r="18" spans="3:9" ht="13.5" thickBot="1"/>
    <row r="19" spans="3:9" ht="15.75" thickBot="1">
      <c r="F19" s="1008" t="s">
        <v>200</v>
      </c>
      <c r="G19" s="1009"/>
      <c r="H19" s="1010"/>
    </row>
    <row r="20" spans="3:9" ht="13.5" thickBot="1"/>
    <row r="21" spans="3:9">
      <c r="F21" s="404"/>
      <c r="G21" s="405" t="s">
        <v>333</v>
      </c>
      <c r="H21" s="406" t="s">
        <v>3</v>
      </c>
    </row>
    <row r="22" spans="3:9" ht="15.75">
      <c r="F22" s="407" t="s">
        <v>384</v>
      </c>
      <c r="G22" s="408">
        <v>20</v>
      </c>
      <c r="H22" s="409">
        <v>0</v>
      </c>
    </row>
    <row r="23" spans="3:9" ht="15.75">
      <c r="F23" s="407" t="s">
        <v>385</v>
      </c>
      <c r="G23" s="408">
        <v>8</v>
      </c>
      <c r="H23" s="409">
        <v>55</v>
      </c>
      <c r="I23" s="78" t="s">
        <v>418</v>
      </c>
    </row>
  </sheetData>
  <sheetProtection algorithmName="SHA-512" hashValue="Rlm/gzJZRFch9j8LKLQgUJfvX1qUlke2km2BYee1AoGUwLjlsDycx7R1k1xncB+l7JmPviQDsRegUqCH6LW0hQ==" saltValue="2+bCI1tXYjYptHN1wRq3Dg==" spinCount="100000" sheet="1" selectLockedCells="1"/>
  <mergeCells count="5">
    <mergeCell ref="F8:H8"/>
    <mergeCell ref="A1:B1"/>
    <mergeCell ref="F1:H1"/>
    <mergeCell ref="A11:B11"/>
    <mergeCell ref="F19:H19"/>
  </mergeCells>
  <printOptions horizontalCentered="1"/>
  <pageMargins left="0.59055118110236227" right="0.59055118110236227" top="0.59055118110236227" bottom="0.59055118110236227"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outlinePr summaryRight="0"/>
    <pageSetUpPr fitToPage="1"/>
  </sheetPr>
  <dimension ref="B1:AR48"/>
  <sheetViews>
    <sheetView showGridLines="0" zoomScale="85" zoomScaleNormal="85" workbookViewId="0">
      <selection activeCell="C3" sqref="C3:G3"/>
    </sheetView>
  </sheetViews>
  <sheetFormatPr baseColWidth="10" defaultColWidth="11.42578125" defaultRowHeight="12.75" outlineLevelCol="1"/>
  <cols>
    <col min="1" max="1" width="1.7109375" style="23" customWidth="1"/>
    <col min="2" max="2" width="15.28515625" style="25" customWidth="1"/>
    <col min="3" max="3" width="6.7109375" style="26" customWidth="1"/>
    <col min="4" max="4" width="5.28515625" style="30" customWidth="1"/>
    <col min="5" max="5" width="68.5703125" style="28" customWidth="1"/>
    <col min="6" max="6" width="15.85546875" style="25" customWidth="1"/>
    <col min="7" max="7" width="13.7109375" style="190" customWidth="1"/>
    <col min="8" max="8" width="10.85546875" style="28" hidden="1" customWidth="1"/>
    <col min="9" max="9" width="6.140625" style="28" hidden="1" customWidth="1"/>
    <col min="10" max="10" width="3.7109375" style="28" customWidth="1"/>
    <col min="11" max="11" width="3.7109375" style="28" customWidth="1" outlineLevel="1"/>
    <col min="12" max="12" width="42" style="28" customWidth="1" outlineLevel="1"/>
    <col min="13" max="13" width="27.7109375" style="28" customWidth="1" outlineLevel="1"/>
    <col min="14" max="14" width="3.7109375" style="28" customWidth="1" outlineLevel="1"/>
    <col min="15" max="15" width="3.7109375" style="28" customWidth="1" collapsed="1"/>
    <col min="16" max="16" width="3.7109375" style="28" hidden="1" customWidth="1" outlineLevel="1"/>
    <col min="17" max="17" width="11.28515625" style="28" hidden="1" customWidth="1" outlineLevel="1"/>
    <col min="18" max="18" width="46.5703125" style="23" hidden="1" customWidth="1" outlineLevel="1"/>
    <col min="19" max="19" width="3.7109375" style="23" hidden="1" customWidth="1" outlineLevel="1"/>
    <col min="20" max="20" width="3.7109375" style="28" customWidth="1" collapsed="1"/>
    <col min="21" max="21" width="3.7109375" style="28" hidden="1" customWidth="1" outlineLevel="1"/>
    <col min="22" max="22" width="11.28515625" style="28" hidden="1" customWidth="1" outlineLevel="1"/>
    <col min="23" max="23" width="46.5703125" style="23" hidden="1" customWidth="1" outlineLevel="1"/>
    <col min="24" max="24" width="3.7109375" style="23" hidden="1" customWidth="1" outlineLevel="1"/>
    <col min="25" max="25" width="3.7109375" style="28" customWidth="1" collapsed="1"/>
    <col min="26" max="26" width="3.7109375" style="28" hidden="1" customWidth="1" outlineLevel="1"/>
    <col min="27" max="27" width="11.28515625" style="28" hidden="1" customWidth="1" outlineLevel="1"/>
    <col min="28" max="28" width="46.5703125" style="23" hidden="1" customWidth="1" outlineLevel="1"/>
    <col min="29" max="29" width="3.7109375" style="23" hidden="1" customWidth="1" outlineLevel="1"/>
    <col min="30" max="30" width="3.7109375" style="23" customWidth="1" collapsed="1"/>
    <col min="31" max="31" width="3.7109375" style="28" hidden="1" customWidth="1" outlineLevel="1"/>
    <col min="32" max="32" width="11.28515625" style="28" hidden="1" customWidth="1" outlineLevel="1"/>
    <col min="33" max="33" width="46.5703125" style="23" hidden="1" customWidth="1" outlineLevel="1"/>
    <col min="34" max="34" width="3.7109375" style="23" hidden="1" customWidth="1" outlineLevel="1"/>
    <col min="35" max="35" width="3.7109375" style="23" customWidth="1" collapsed="1"/>
    <col min="36" max="36" width="3.7109375" style="28" hidden="1" customWidth="1" outlineLevel="1"/>
    <col min="37" max="37" width="11.28515625" style="28" hidden="1" customWidth="1" outlineLevel="1"/>
    <col min="38" max="38" width="46.5703125" style="23" hidden="1" customWidth="1" outlineLevel="1"/>
    <col min="39" max="39" width="3.7109375" style="23" hidden="1" customWidth="1" outlineLevel="1"/>
    <col min="40" max="40" width="3.7109375" style="23" customWidth="1" collapsed="1"/>
    <col min="41" max="41" width="3.7109375" style="28" hidden="1" customWidth="1" outlineLevel="1"/>
    <col min="42" max="42" width="11.28515625" style="28" hidden="1" customWidth="1" outlineLevel="1"/>
    <col min="43" max="43" width="46.5703125" style="23" hidden="1" customWidth="1" outlineLevel="1"/>
    <col min="44" max="44" width="3.7109375" style="23" hidden="1" customWidth="1" outlineLevel="1"/>
    <col min="45" max="45" width="3.7109375" style="23" customWidth="1"/>
    <col min="46" max="16384" width="11.42578125" style="23"/>
  </cols>
  <sheetData>
    <row r="1" spans="2:44" ht="131.25" customHeight="1">
      <c r="B1" s="748" t="s">
        <v>536</v>
      </c>
      <c r="C1" s="749"/>
      <c r="D1" s="749"/>
      <c r="E1" s="749"/>
      <c r="F1" s="749"/>
      <c r="G1" s="749"/>
      <c r="O1" s="151">
        <f>R8</f>
        <v>0</v>
      </c>
      <c r="T1" s="151">
        <f>W8</f>
        <v>0</v>
      </c>
      <c r="Y1" s="151">
        <f>AB8</f>
        <v>0</v>
      </c>
      <c r="AD1" s="151">
        <f>AG8</f>
        <v>0</v>
      </c>
      <c r="AI1" s="151">
        <f>AL8</f>
        <v>0</v>
      </c>
      <c r="AN1" s="151">
        <f>AQ8</f>
        <v>0</v>
      </c>
      <c r="AO1" s="23"/>
      <c r="AP1" s="23"/>
    </row>
    <row r="2" spans="2:44" ht="16.5" customHeight="1" thickBot="1">
      <c r="B2" s="190"/>
      <c r="C2" s="162"/>
      <c r="D2" s="27"/>
      <c r="E2" s="223"/>
      <c r="F2" s="224"/>
      <c r="G2" s="224"/>
      <c r="O2" s="151"/>
      <c r="T2" s="151"/>
      <c r="Y2" s="151"/>
      <c r="AD2" s="151"/>
      <c r="AI2" s="151"/>
      <c r="AN2" s="151"/>
      <c r="AO2" s="23"/>
      <c r="AP2" s="23"/>
    </row>
    <row r="3" spans="2:44" ht="30.2" customHeight="1" thickBot="1">
      <c r="B3" s="147" t="s">
        <v>48</v>
      </c>
      <c r="C3" s="760"/>
      <c r="D3" s="761"/>
      <c r="E3" s="761"/>
      <c r="F3" s="761"/>
      <c r="G3" s="762"/>
      <c r="J3" s="747"/>
      <c r="K3" s="747"/>
      <c r="L3" s="747"/>
      <c r="M3" s="747"/>
      <c r="O3" s="744" t="s">
        <v>229</v>
      </c>
      <c r="T3" s="744" t="s">
        <v>230</v>
      </c>
      <c r="Y3" s="744" t="s">
        <v>231</v>
      </c>
      <c r="AD3" s="744" t="s">
        <v>232</v>
      </c>
      <c r="AI3" s="744" t="s">
        <v>233</v>
      </c>
      <c r="AN3" s="744" t="s">
        <v>234</v>
      </c>
      <c r="AO3" s="23"/>
      <c r="AP3" s="23"/>
    </row>
    <row r="4" spans="2:44" ht="30.2" customHeight="1" thickBot="1">
      <c r="B4" s="29"/>
      <c r="C4" s="142"/>
      <c r="D4" s="142"/>
      <c r="E4" s="143"/>
      <c r="F4" s="143"/>
      <c r="G4" s="143"/>
      <c r="J4" s="747"/>
      <c r="K4" s="747"/>
      <c r="L4" s="747"/>
      <c r="M4" s="747"/>
      <c r="O4" s="744"/>
      <c r="T4" s="744"/>
      <c r="Y4" s="744"/>
      <c r="AD4" s="744"/>
      <c r="AI4" s="744"/>
      <c r="AN4" s="744"/>
      <c r="AO4" s="23"/>
      <c r="AP4" s="23"/>
    </row>
    <row r="5" spans="2:44" ht="43.5" customHeight="1" thickBot="1">
      <c r="B5" s="763" t="s">
        <v>289</v>
      </c>
      <c r="C5" s="764"/>
      <c r="D5" s="765"/>
      <c r="E5" s="191" t="s">
        <v>279</v>
      </c>
      <c r="F5" s="77"/>
      <c r="G5" s="77"/>
      <c r="J5" s="747"/>
      <c r="K5" s="747"/>
      <c r="L5" s="747"/>
      <c r="M5" s="747"/>
      <c r="O5" s="152"/>
      <c r="T5" s="152"/>
      <c r="Y5" s="152"/>
      <c r="AD5" s="152"/>
      <c r="AI5" s="152"/>
      <c r="AN5" s="152"/>
      <c r="AO5" s="23"/>
      <c r="AP5" s="23"/>
    </row>
    <row r="6" spans="2:44" ht="18.75" customHeight="1">
      <c r="B6" s="144"/>
      <c r="C6" s="144"/>
      <c r="D6" s="144"/>
      <c r="E6" s="77"/>
      <c r="F6" s="142"/>
      <c r="G6" s="142"/>
      <c r="J6" s="747"/>
      <c r="K6" s="747"/>
      <c r="L6" s="747"/>
      <c r="M6" s="747"/>
      <c r="O6" s="152"/>
      <c r="T6" s="152"/>
      <c r="Y6" s="152"/>
      <c r="AD6" s="152"/>
      <c r="AI6" s="152"/>
      <c r="AN6" s="152"/>
      <c r="AO6" s="23"/>
      <c r="AP6" s="23"/>
    </row>
    <row r="7" spans="2:44" ht="18.75" customHeight="1" thickBot="1">
      <c r="B7" s="190"/>
      <c r="C7" s="162"/>
      <c r="D7" s="226"/>
      <c r="E7" s="745"/>
      <c r="F7" s="746"/>
      <c r="G7" s="746"/>
      <c r="J7" s="747"/>
      <c r="K7" s="747"/>
      <c r="L7" s="747"/>
      <c r="M7" s="747"/>
      <c r="O7" s="153"/>
      <c r="T7" s="154"/>
      <c r="Y7" s="154"/>
      <c r="AD7"/>
      <c r="AI7"/>
      <c r="AN7"/>
      <c r="AO7" s="23"/>
      <c r="AP7" s="23"/>
    </row>
    <row r="8" spans="2:44" ht="42" customHeight="1" thickBot="1">
      <c r="B8" s="31"/>
      <c r="C8" s="162"/>
      <c r="D8" s="72"/>
      <c r="E8" s="73" t="s">
        <v>5</v>
      </c>
      <c r="F8" s="758">
        <f>IF((G11+G21+G35+G39)&lt;1000,(G11+G21+G35+G39),1000)</f>
        <v>0</v>
      </c>
      <c r="G8" s="759">
        <f>IF(SUM(G9:G14)&lt;225,SUM(G9:G14),225)</f>
        <v>0</v>
      </c>
      <c r="Q8" s="155" t="s">
        <v>228</v>
      </c>
      <c r="R8" s="156"/>
      <c r="S8" s="157"/>
      <c r="V8" s="155" t="s">
        <v>228</v>
      </c>
      <c r="W8" s="156"/>
      <c r="X8" s="157"/>
      <c r="AA8" s="155" t="s">
        <v>228</v>
      </c>
      <c r="AB8" s="156"/>
      <c r="AC8" s="157"/>
      <c r="AF8" s="155" t="s">
        <v>228</v>
      </c>
      <c r="AG8" s="156"/>
      <c r="AH8" s="157"/>
      <c r="AK8" s="155" t="s">
        <v>228</v>
      </c>
      <c r="AL8" s="156"/>
      <c r="AM8" s="157"/>
      <c r="AP8" s="155" t="s">
        <v>228</v>
      </c>
      <c r="AQ8" s="156"/>
    </row>
    <row r="9" spans="2:44" ht="31.7" customHeight="1">
      <c r="B9" s="750" t="s">
        <v>1</v>
      </c>
      <c r="C9" s="751"/>
      <c r="D9" s="752"/>
      <c r="E9" s="756" t="s">
        <v>2</v>
      </c>
      <c r="F9" s="222" t="s">
        <v>11</v>
      </c>
      <c r="G9" s="199" t="s">
        <v>15</v>
      </c>
      <c r="P9" s="158"/>
      <c r="Q9" s="159" t="s">
        <v>3</v>
      </c>
      <c r="R9" s="486" t="s">
        <v>225</v>
      </c>
      <c r="S9" s="52"/>
      <c r="U9" s="158"/>
      <c r="V9" s="37" t="s">
        <v>3</v>
      </c>
      <c r="W9" s="481" t="s">
        <v>225</v>
      </c>
      <c r="X9" s="52"/>
      <c r="Z9" s="158"/>
      <c r="AA9" s="37" t="s">
        <v>3</v>
      </c>
      <c r="AB9" s="481" t="s">
        <v>225</v>
      </c>
      <c r="AC9" s="52"/>
      <c r="AE9" s="158"/>
      <c r="AF9" s="37" t="s">
        <v>3</v>
      </c>
      <c r="AG9" s="481" t="s">
        <v>225</v>
      </c>
      <c r="AH9" s="52"/>
      <c r="AJ9" s="158"/>
      <c r="AK9" s="37" t="s">
        <v>3</v>
      </c>
      <c r="AL9" s="481" t="s">
        <v>225</v>
      </c>
      <c r="AM9" s="52"/>
      <c r="AO9" s="158"/>
      <c r="AP9" s="37" t="s">
        <v>3</v>
      </c>
      <c r="AQ9" s="481" t="s">
        <v>225</v>
      </c>
    </row>
    <row r="10" spans="2:44" ht="4.7" customHeight="1" thickBot="1">
      <c r="B10" s="753"/>
      <c r="C10" s="754"/>
      <c r="D10" s="755"/>
      <c r="E10" s="757"/>
      <c r="F10" s="222"/>
      <c r="G10" s="200"/>
      <c r="Q10" s="161"/>
      <c r="V10" s="161"/>
      <c r="AA10" s="161"/>
      <c r="AF10" s="161"/>
      <c r="AK10" s="161"/>
      <c r="AP10" s="161"/>
    </row>
    <row r="11" spans="2:44" s="32" customFormat="1" ht="45.75" customHeight="1">
      <c r="B11" s="136" t="s">
        <v>7</v>
      </c>
      <c r="C11" s="137"/>
      <c r="D11" s="138"/>
      <c r="E11" s="139" t="s">
        <v>433</v>
      </c>
      <c r="F11" s="227">
        <v>340</v>
      </c>
      <c r="G11" s="140">
        <f>IF(SUM(G12:G19)&lt;340,SUM(G12:G19),340)</f>
        <v>0</v>
      </c>
      <c r="H11" s="33"/>
      <c r="I11" s="33"/>
      <c r="J11" s="33"/>
      <c r="K11" s="34"/>
      <c r="L11" s="35"/>
      <c r="M11" s="36" t="s">
        <v>199</v>
      </c>
      <c r="N11" s="162"/>
      <c r="O11" s="162"/>
      <c r="P11" s="162"/>
      <c r="Q11" s="163"/>
      <c r="R11" s="164"/>
      <c r="T11" s="33"/>
      <c r="U11" s="165"/>
      <c r="V11" s="490"/>
      <c r="W11" s="491"/>
      <c r="Y11" s="33"/>
      <c r="Z11" s="165"/>
      <c r="AA11" s="163"/>
      <c r="AB11" s="164"/>
      <c r="AE11" s="165"/>
      <c r="AF11" s="163"/>
      <c r="AG11" s="164"/>
      <c r="AJ11" s="165"/>
      <c r="AK11" s="163"/>
      <c r="AL11" s="164"/>
      <c r="AO11" s="165"/>
      <c r="AP11" s="163"/>
      <c r="AQ11" s="164"/>
    </row>
    <row r="12" spans="2:44" s="52" customFormat="1" ht="30.75" customHeight="1" thickBot="1">
      <c r="B12" s="319" t="s">
        <v>443</v>
      </c>
      <c r="C12" s="315">
        <v>1</v>
      </c>
      <c r="D12" s="321"/>
      <c r="E12" s="317" t="s">
        <v>453</v>
      </c>
      <c r="F12" s="315">
        <v>30</v>
      </c>
      <c r="G12" s="427"/>
      <c r="H12" s="52">
        <v>0</v>
      </c>
      <c r="I12" s="40">
        <v>0</v>
      </c>
      <c r="K12" s="38"/>
      <c r="L12" s="64"/>
      <c r="M12" s="39" t="s">
        <v>200</v>
      </c>
      <c r="N12" s="162"/>
      <c r="O12" s="162"/>
      <c r="P12" s="165"/>
      <c r="Q12" s="258"/>
      <c r="R12" s="479"/>
      <c r="S12" s="167"/>
      <c r="U12" s="165"/>
      <c r="V12" s="258"/>
      <c r="W12" s="479"/>
      <c r="X12" s="40"/>
      <c r="Z12" s="165"/>
      <c r="AA12" s="258"/>
      <c r="AB12" s="479"/>
      <c r="AC12" s="40"/>
      <c r="AE12" s="165"/>
      <c r="AF12" s="258"/>
      <c r="AG12" s="479"/>
      <c r="AH12" s="40"/>
      <c r="AJ12" s="165"/>
      <c r="AK12" s="258"/>
      <c r="AL12" s="479"/>
      <c r="AM12" s="40"/>
      <c r="AO12" s="165"/>
      <c r="AP12" s="258"/>
      <c r="AQ12" s="166"/>
    </row>
    <row r="13" spans="2:44" s="52" customFormat="1" ht="30.2" customHeight="1">
      <c r="B13" s="319" t="str">
        <f>$B$12</f>
        <v>A.</v>
      </c>
      <c r="C13" s="315">
        <v>2</v>
      </c>
      <c r="D13" s="321"/>
      <c r="E13" s="425" t="s">
        <v>435</v>
      </c>
      <c r="F13" s="159">
        <v>20</v>
      </c>
      <c r="G13" s="426"/>
      <c r="H13" s="40">
        <v>10</v>
      </c>
      <c r="I13" s="40">
        <v>5</v>
      </c>
      <c r="J13" s="131"/>
      <c r="K13" s="40"/>
      <c r="L13" s="40"/>
      <c r="M13" s="40"/>
      <c r="N13" s="40"/>
      <c r="O13" s="40"/>
      <c r="P13" s="169"/>
      <c r="Q13" s="252"/>
      <c r="R13" s="480"/>
      <c r="S13" s="167"/>
      <c r="U13" s="165"/>
      <c r="V13" s="252"/>
      <c r="W13" s="480"/>
      <c r="X13" s="40"/>
      <c r="Z13" s="165"/>
      <c r="AA13" s="252"/>
      <c r="AB13" s="480"/>
      <c r="AC13" s="40"/>
      <c r="AE13" s="165"/>
      <c r="AF13" s="252"/>
      <c r="AG13" s="480"/>
      <c r="AH13" s="40"/>
      <c r="AJ13" s="165"/>
      <c r="AK13" s="252"/>
      <c r="AL13" s="480"/>
      <c r="AM13" s="40"/>
      <c r="AO13" s="165"/>
      <c r="AP13" s="252"/>
      <c r="AQ13" s="257"/>
    </row>
    <row r="14" spans="2:44" s="52" customFormat="1" ht="30.2" customHeight="1">
      <c r="B14" s="319" t="str">
        <f t="shared" ref="B14:B19" si="0">$B$12</f>
        <v>A.</v>
      </c>
      <c r="C14" s="315">
        <v>3</v>
      </c>
      <c r="D14" s="321"/>
      <c r="E14" s="316" t="s">
        <v>546</v>
      </c>
      <c r="F14" s="321">
        <v>175</v>
      </c>
      <c r="G14" s="263">
        <f>A.3!F52</f>
        <v>0</v>
      </c>
      <c r="H14" s="40">
        <v>20</v>
      </c>
      <c r="I14" s="40">
        <v>10</v>
      </c>
      <c r="J14" s="40"/>
      <c r="K14" s="40"/>
      <c r="L14" s="40"/>
      <c r="M14" s="40"/>
      <c r="N14" s="40"/>
      <c r="O14" s="40"/>
      <c r="P14" s="169"/>
      <c r="Q14" s="252"/>
      <c r="R14" s="481"/>
      <c r="S14" s="168"/>
      <c r="T14" s="40"/>
      <c r="U14" s="169"/>
      <c r="V14" s="252"/>
      <c r="W14" s="481"/>
      <c r="Y14" s="40"/>
      <c r="Z14" s="169"/>
      <c r="AA14" s="252"/>
      <c r="AB14" s="481"/>
      <c r="AD14" s="25"/>
      <c r="AE14" s="169"/>
      <c r="AF14" s="252"/>
      <c r="AG14" s="481"/>
      <c r="AJ14" s="169"/>
      <c r="AK14" s="252"/>
      <c r="AL14" s="481"/>
      <c r="AM14" s="168"/>
      <c r="AO14" s="169"/>
      <c r="AP14" s="252"/>
      <c r="AQ14" s="160"/>
    </row>
    <row r="15" spans="2:44" s="52" customFormat="1" ht="30.2" customHeight="1">
      <c r="B15" s="319" t="str">
        <f t="shared" si="0"/>
        <v>A.</v>
      </c>
      <c r="C15" s="315">
        <v>4</v>
      </c>
      <c r="D15" s="321"/>
      <c r="E15" s="316" t="s">
        <v>480</v>
      </c>
      <c r="F15" s="322">
        <v>60</v>
      </c>
      <c r="G15" s="263">
        <f>A.4!E29</f>
        <v>0</v>
      </c>
      <c r="H15" s="40">
        <v>30</v>
      </c>
      <c r="I15" s="40">
        <v>15</v>
      </c>
      <c r="J15" s="40"/>
      <c r="K15" s="40"/>
      <c r="L15" s="40"/>
      <c r="M15" s="40"/>
      <c r="N15" s="40"/>
      <c r="O15" s="40"/>
      <c r="P15" s="169"/>
      <c r="Q15" s="252"/>
      <c r="R15" s="481"/>
      <c r="S15" s="168"/>
      <c r="T15" s="40"/>
      <c r="U15" s="169"/>
      <c r="V15" s="252"/>
      <c r="W15" s="481"/>
      <c r="Y15" s="40"/>
      <c r="Z15" s="169"/>
      <c r="AA15" s="252"/>
      <c r="AB15" s="481"/>
      <c r="AC15" s="168"/>
      <c r="AE15" s="169"/>
      <c r="AF15" s="252"/>
      <c r="AG15" s="481"/>
      <c r="AJ15" s="169"/>
      <c r="AK15" s="252"/>
      <c r="AL15" s="481"/>
      <c r="AM15" s="168"/>
      <c r="AO15" s="169"/>
      <c r="AP15" s="252"/>
      <c r="AQ15" s="160"/>
    </row>
    <row r="16" spans="2:44" s="52" customFormat="1" ht="30.2" customHeight="1">
      <c r="B16" s="319" t="str">
        <f t="shared" si="0"/>
        <v>A.</v>
      </c>
      <c r="C16" s="255">
        <v>5</v>
      </c>
      <c r="D16" s="321"/>
      <c r="E16" s="318" t="s">
        <v>290</v>
      </c>
      <c r="F16" s="315">
        <v>30</v>
      </c>
      <c r="G16" s="263">
        <f>A.5!D33</f>
        <v>0</v>
      </c>
      <c r="H16" s="52">
        <v>20</v>
      </c>
      <c r="I16" s="40">
        <v>20</v>
      </c>
      <c r="J16" s="40"/>
      <c r="K16" s="40"/>
      <c r="L16" s="40"/>
      <c r="M16" s="133" t="s">
        <v>278</v>
      </c>
      <c r="N16" s="40"/>
      <c r="O16" s="40"/>
      <c r="P16" s="169"/>
      <c r="Q16" s="252"/>
      <c r="R16" s="481"/>
      <c r="S16" s="168"/>
      <c r="T16" s="40"/>
      <c r="U16" s="169"/>
      <c r="V16" s="252"/>
      <c r="W16" s="481"/>
      <c r="Y16" s="40"/>
      <c r="Z16" s="169"/>
      <c r="AA16" s="252"/>
      <c r="AB16" s="481"/>
      <c r="AC16" s="168"/>
      <c r="AE16" s="169"/>
      <c r="AF16" s="252"/>
      <c r="AG16" s="481"/>
      <c r="AJ16" s="169"/>
      <c r="AK16" s="252"/>
      <c r="AL16" s="481"/>
      <c r="AM16" s="168"/>
      <c r="AO16" s="169"/>
      <c r="AP16" s="493"/>
      <c r="AQ16" s="315"/>
      <c r="AR16" s="334"/>
    </row>
    <row r="17" spans="2:43" s="52" customFormat="1" ht="30.2" customHeight="1">
      <c r="B17" s="319" t="str">
        <f t="shared" si="0"/>
        <v>A.</v>
      </c>
      <c r="C17" s="255">
        <v>6</v>
      </c>
      <c r="D17" s="321"/>
      <c r="E17" s="256" t="s">
        <v>318</v>
      </c>
      <c r="F17" s="255">
        <v>40</v>
      </c>
      <c r="G17" s="263">
        <f>A.6!E9</f>
        <v>0</v>
      </c>
      <c r="H17" s="40"/>
      <c r="I17" s="40"/>
      <c r="J17" s="130"/>
      <c r="K17" s="40"/>
      <c r="L17" s="40"/>
      <c r="M17" s="133">
        <v>0</v>
      </c>
      <c r="N17" s="40"/>
      <c r="O17" s="40"/>
      <c r="P17" s="169"/>
      <c r="Q17" s="252"/>
      <c r="R17" s="481"/>
      <c r="S17" s="168"/>
      <c r="T17" s="40"/>
      <c r="U17" s="169"/>
      <c r="V17" s="252"/>
      <c r="W17" s="481"/>
      <c r="Y17" s="40"/>
      <c r="Z17" s="169"/>
      <c r="AA17" s="252"/>
      <c r="AB17" s="481"/>
      <c r="AC17" s="168"/>
      <c r="AE17" s="169"/>
      <c r="AF17" s="252"/>
      <c r="AG17" s="481"/>
      <c r="AJ17" s="169"/>
      <c r="AK17" s="252"/>
      <c r="AL17" s="481"/>
      <c r="AM17" s="168"/>
      <c r="AO17" s="169"/>
      <c r="AP17" s="252"/>
      <c r="AQ17" s="494"/>
    </row>
    <row r="18" spans="2:43" s="52" customFormat="1" ht="30.2" customHeight="1">
      <c r="B18" s="319" t="str">
        <f t="shared" si="0"/>
        <v>A.</v>
      </c>
      <c r="C18" s="315">
        <v>7</v>
      </c>
      <c r="D18" s="321"/>
      <c r="E18" s="318" t="s">
        <v>357</v>
      </c>
      <c r="F18" s="315">
        <v>10</v>
      </c>
      <c r="G18" s="263">
        <f>A.7!D12</f>
        <v>0</v>
      </c>
      <c r="H18" s="40"/>
      <c r="I18" s="40"/>
      <c r="J18" s="130"/>
      <c r="K18" s="40"/>
      <c r="L18" s="40"/>
      <c r="M18" s="133"/>
      <c r="N18" s="40"/>
      <c r="O18" s="40"/>
      <c r="P18" s="169"/>
      <c r="Q18" s="325"/>
      <c r="R18" s="482"/>
      <c r="S18" s="168"/>
      <c r="T18" s="40"/>
      <c r="U18" s="169"/>
      <c r="V18" s="325"/>
      <c r="W18" s="482"/>
      <c r="Y18" s="40"/>
      <c r="Z18" s="169"/>
      <c r="AA18" s="325"/>
      <c r="AB18" s="482"/>
      <c r="AC18" s="168"/>
      <c r="AE18" s="169"/>
      <c r="AF18" s="325"/>
      <c r="AG18" s="482"/>
      <c r="AJ18" s="169"/>
      <c r="AK18" s="325"/>
      <c r="AL18" s="482"/>
      <c r="AM18" s="168"/>
      <c r="AO18" s="169"/>
      <c r="AP18" s="325"/>
      <c r="AQ18" s="326"/>
    </row>
    <row r="19" spans="2:43" ht="30.2" customHeight="1" thickBot="1">
      <c r="B19" s="323" t="str">
        <f t="shared" si="0"/>
        <v>A.</v>
      </c>
      <c r="C19" s="487">
        <v>8</v>
      </c>
      <c r="D19" s="488"/>
      <c r="E19" s="489" t="s">
        <v>358</v>
      </c>
      <c r="F19" s="487">
        <v>10</v>
      </c>
      <c r="G19" s="68">
        <f>A.8!D6</f>
        <v>0</v>
      </c>
      <c r="M19" s="133">
        <v>10</v>
      </c>
      <c r="P19" s="179"/>
      <c r="Q19" s="259"/>
      <c r="R19" s="481"/>
      <c r="S19" s="168"/>
      <c r="T19" s="40"/>
      <c r="U19" s="169"/>
      <c r="V19" s="259"/>
      <c r="W19" s="481"/>
      <c r="X19" s="52"/>
      <c r="Y19" s="40"/>
      <c r="Z19" s="169"/>
      <c r="AA19" s="259"/>
      <c r="AB19" s="481"/>
      <c r="AC19" s="168"/>
      <c r="AD19" s="52"/>
      <c r="AE19" s="169"/>
      <c r="AF19" s="259"/>
      <c r="AG19" s="481"/>
      <c r="AH19" s="52"/>
      <c r="AI19" s="52"/>
      <c r="AJ19" s="169"/>
      <c r="AK19" s="259"/>
      <c r="AL19" s="481"/>
      <c r="AM19" s="168"/>
      <c r="AN19" s="52"/>
      <c r="AO19" s="169"/>
      <c r="AP19" s="259"/>
      <c r="AQ19" s="160"/>
    </row>
    <row r="20" spans="2:43" ht="8.4499999999999993" customHeight="1" thickBot="1">
      <c r="B20" s="23"/>
      <c r="C20" s="343"/>
      <c r="D20" s="343"/>
      <c r="E20" s="23"/>
      <c r="F20" s="23"/>
      <c r="G20" s="23"/>
      <c r="M20" s="133"/>
      <c r="Q20" s="313"/>
      <c r="R20" s="483"/>
      <c r="S20" s="52"/>
      <c r="T20" s="40"/>
      <c r="U20" s="40"/>
      <c r="V20" s="313"/>
      <c r="W20" s="164"/>
      <c r="X20" s="52"/>
      <c r="Y20" s="40"/>
      <c r="Z20" s="40"/>
      <c r="AA20" s="313"/>
      <c r="AB20" s="483"/>
      <c r="AC20" s="52"/>
      <c r="AD20" s="52"/>
      <c r="AE20" s="40"/>
      <c r="AF20" s="313"/>
      <c r="AG20" s="483"/>
      <c r="AH20" s="52"/>
      <c r="AI20" s="52"/>
      <c r="AJ20" s="40"/>
      <c r="AK20" s="313"/>
      <c r="AL20" s="483"/>
      <c r="AM20" s="52"/>
      <c r="AN20" s="52"/>
      <c r="AO20" s="40"/>
      <c r="AP20" s="313"/>
      <c r="AQ20" s="314"/>
    </row>
    <row r="21" spans="2:43" s="47" customFormat="1" ht="30.2" customHeight="1">
      <c r="B21" s="527" t="s">
        <v>4</v>
      </c>
      <c r="C21" s="45"/>
      <c r="D21" s="340"/>
      <c r="E21" s="201" t="s">
        <v>434</v>
      </c>
      <c r="F21" s="610">
        <v>330</v>
      </c>
      <c r="G21" s="228">
        <f>MIN(IF((G22+G33)&gt;(G27+G33),(G22+G33),(G27+G33)),330)</f>
        <v>0</v>
      </c>
      <c r="H21" s="48" t="s">
        <v>298</v>
      </c>
      <c r="I21" s="48"/>
      <c r="J21" s="48"/>
      <c r="K21" s="48"/>
      <c r="L21" s="48"/>
      <c r="M21" s="48"/>
      <c r="N21" s="48"/>
      <c r="O21" s="48"/>
      <c r="P21" s="175"/>
      <c r="Q21" s="172"/>
      <c r="R21" s="164"/>
      <c r="S21" s="174"/>
      <c r="T21" s="46"/>
      <c r="U21" s="171"/>
      <c r="V21" s="172"/>
      <c r="W21" s="164"/>
      <c r="X21" s="44"/>
      <c r="Y21" s="46"/>
      <c r="Z21" s="171"/>
      <c r="AA21" s="172"/>
      <c r="AB21" s="164"/>
      <c r="AC21" s="174"/>
      <c r="AD21" s="44"/>
      <c r="AE21" s="171"/>
      <c r="AF21" s="172"/>
      <c r="AG21" s="164"/>
      <c r="AH21" s="44"/>
      <c r="AI21" s="44"/>
      <c r="AJ21" s="171"/>
      <c r="AK21" s="172"/>
      <c r="AL21" s="164"/>
      <c r="AM21" s="174"/>
      <c r="AN21" s="44"/>
      <c r="AO21" s="171"/>
      <c r="AP21" s="172"/>
      <c r="AQ21" s="173"/>
    </row>
    <row r="22" spans="2:43" s="52" customFormat="1" ht="30.2" customHeight="1">
      <c r="B22" s="516" t="s">
        <v>444</v>
      </c>
      <c r="C22" s="604">
        <v>1</v>
      </c>
      <c r="D22" s="517"/>
      <c r="E22" s="198" t="s">
        <v>12</v>
      </c>
      <c r="F22" s="518">
        <v>330</v>
      </c>
      <c r="G22" s="519">
        <f>IF(SUM(G23:G26)&lt;330,SUM(G23:G26),330)</f>
        <v>0</v>
      </c>
      <c r="H22" s="40" t="s">
        <v>279</v>
      </c>
      <c r="I22" s="40"/>
      <c r="J22" s="40"/>
      <c r="K22" s="40"/>
      <c r="L22" s="40"/>
      <c r="M22" s="40"/>
      <c r="N22" s="40"/>
      <c r="O22" s="40"/>
      <c r="P22" s="169"/>
      <c r="Q22" s="176"/>
      <c r="R22" s="484"/>
      <c r="S22" s="178"/>
      <c r="T22" s="48"/>
      <c r="U22" s="175"/>
      <c r="V22" s="176"/>
      <c r="W22" s="484"/>
      <c r="X22" s="47"/>
      <c r="Y22" s="48"/>
      <c r="Z22" s="175"/>
      <c r="AA22" s="176"/>
      <c r="AB22" s="484"/>
      <c r="AC22" s="178"/>
      <c r="AD22" s="47"/>
      <c r="AE22" s="175"/>
      <c r="AF22" s="176"/>
      <c r="AG22" s="484"/>
      <c r="AH22" s="47"/>
      <c r="AI22" s="47"/>
      <c r="AJ22" s="175"/>
      <c r="AK22" s="176"/>
      <c r="AL22" s="484"/>
      <c r="AM22" s="178"/>
      <c r="AN22" s="47"/>
      <c r="AO22" s="175"/>
      <c r="AP22" s="176"/>
      <c r="AQ22" s="177"/>
    </row>
    <row r="23" spans="2:43" s="52" customFormat="1" ht="30.2" customHeight="1">
      <c r="B23" s="319" t="str">
        <f>B$22</f>
        <v>B.</v>
      </c>
      <c r="C23" s="320" t="s">
        <v>6</v>
      </c>
      <c r="D23" s="321">
        <v>1</v>
      </c>
      <c r="E23" s="317" t="s">
        <v>547</v>
      </c>
      <c r="F23" s="321">
        <v>50</v>
      </c>
      <c r="G23" s="520">
        <f>IF(ISNUMBER('B.1 '!B15),'B.1 '!B15,0)</f>
        <v>0</v>
      </c>
      <c r="H23" s="40"/>
      <c r="I23" s="40"/>
      <c r="J23" s="40"/>
      <c r="K23" s="40"/>
      <c r="L23" s="40"/>
      <c r="M23" s="40"/>
      <c r="N23" s="40"/>
      <c r="O23" s="40"/>
      <c r="P23" s="169"/>
      <c r="Q23" s="41"/>
      <c r="R23" s="481"/>
      <c r="S23" s="168"/>
      <c r="T23" s="40"/>
      <c r="U23" s="169"/>
      <c r="V23" s="41"/>
      <c r="W23" s="481"/>
      <c r="Y23" s="40"/>
      <c r="Z23" s="169"/>
      <c r="AA23" s="41"/>
      <c r="AB23" s="481"/>
      <c r="AC23" s="168"/>
      <c r="AE23" s="169"/>
      <c r="AF23" s="41"/>
      <c r="AG23" s="481"/>
      <c r="AJ23" s="169"/>
      <c r="AK23" s="41"/>
      <c r="AL23" s="481"/>
      <c r="AM23" s="168"/>
      <c r="AO23" s="169"/>
      <c r="AP23" s="41"/>
      <c r="AQ23" s="160"/>
    </row>
    <row r="24" spans="2:43" s="52" customFormat="1" ht="30.2" customHeight="1">
      <c r="B24" s="319" t="str">
        <f t="shared" ref="B24:B26" si="1">B$22</f>
        <v>B.</v>
      </c>
      <c r="C24" s="320" t="s">
        <v>6</v>
      </c>
      <c r="D24" s="321">
        <v>2</v>
      </c>
      <c r="E24" s="317" t="s">
        <v>548</v>
      </c>
      <c r="F24" s="321">
        <v>45</v>
      </c>
      <c r="G24" s="520">
        <f>IF(ISNUMBER('B.1 '!B16),'B.1 '!B16,0)</f>
        <v>0</v>
      </c>
      <c r="H24" s="40"/>
      <c r="I24" s="40"/>
      <c r="J24" s="40"/>
      <c r="K24" s="40"/>
      <c r="L24" s="40"/>
      <c r="M24" s="40"/>
      <c r="N24" s="40"/>
      <c r="O24" s="40"/>
      <c r="P24" s="169"/>
      <c r="Q24" s="41"/>
      <c r="R24" s="481"/>
      <c r="S24" s="168"/>
      <c r="T24" s="40"/>
      <c r="U24" s="169"/>
      <c r="V24" s="41"/>
      <c r="W24" s="481"/>
      <c r="Y24" s="40"/>
      <c r="Z24" s="169"/>
      <c r="AA24" s="41"/>
      <c r="AB24" s="481"/>
      <c r="AC24" s="168"/>
      <c r="AE24" s="169"/>
      <c r="AF24" s="41"/>
      <c r="AG24" s="481"/>
      <c r="AJ24" s="169"/>
      <c r="AK24" s="41"/>
      <c r="AL24" s="481"/>
      <c r="AM24" s="168"/>
      <c r="AO24" s="169"/>
      <c r="AP24" s="41"/>
      <c r="AQ24" s="160"/>
    </row>
    <row r="25" spans="2:43" s="52" customFormat="1" ht="30.2" customHeight="1">
      <c r="B25" s="319" t="str">
        <f t="shared" si="1"/>
        <v>B.</v>
      </c>
      <c r="C25" s="320" t="s">
        <v>6</v>
      </c>
      <c r="D25" s="321">
        <v>3</v>
      </c>
      <c r="E25" s="317" t="s">
        <v>549</v>
      </c>
      <c r="F25" s="321">
        <v>120</v>
      </c>
      <c r="G25" s="520">
        <f>IF(ISNUMBER('B.1 '!B17),'B.1 '!B17,0)</f>
        <v>0</v>
      </c>
      <c r="H25" s="40"/>
      <c r="I25" s="40"/>
      <c r="J25" s="40"/>
      <c r="K25" s="40"/>
      <c r="L25" s="40"/>
      <c r="M25" s="40"/>
      <c r="N25" s="40"/>
      <c r="O25" s="40"/>
      <c r="P25" s="169"/>
      <c r="Q25" s="41"/>
      <c r="R25" s="481"/>
      <c r="S25" s="168"/>
      <c r="T25" s="40"/>
      <c r="U25" s="169"/>
      <c r="V25" s="41"/>
      <c r="W25" s="481"/>
      <c r="Y25" s="40"/>
      <c r="Z25" s="169"/>
      <c r="AA25" s="41"/>
      <c r="AB25" s="481"/>
      <c r="AC25" s="168"/>
      <c r="AE25" s="169"/>
      <c r="AF25" s="41"/>
      <c r="AG25" s="481"/>
      <c r="AJ25" s="169"/>
      <c r="AK25" s="41"/>
      <c r="AL25" s="481"/>
      <c r="AM25" s="168"/>
      <c r="AO25" s="169"/>
      <c r="AP25" s="41"/>
      <c r="AQ25" s="160"/>
    </row>
    <row r="26" spans="2:43" s="52" customFormat="1" ht="30.2" customHeight="1">
      <c r="B26" s="319" t="str">
        <f t="shared" si="1"/>
        <v>B.</v>
      </c>
      <c r="C26" s="320" t="s">
        <v>6</v>
      </c>
      <c r="D26" s="321">
        <v>4</v>
      </c>
      <c r="E26" s="317" t="s">
        <v>550</v>
      </c>
      <c r="F26" s="321">
        <v>135</v>
      </c>
      <c r="G26" s="520">
        <f>IF(ISNUMBER('B.1 '!B18),'B.1 '!B18,0)</f>
        <v>0</v>
      </c>
      <c r="H26" s="40"/>
      <c r="I26" s="40"/>
      <c r="J26" s="40"/>
      <c r="K26" s="40"/>
      <c r="L26" s="40"/>
      <c r="M26" s="40"/>
      <c r="N26" s="40"/>
      <c r="O26" s="40"/>
      <c r="P26" s="169"/>
      <c r="Q26" s="41"/>
      <c r="R26" s="481"/>
      <c r="S26" s="168"/>
      <c r="T26" s="40"/>
      <c r="U26" s="169"/>
      <c r="V26" s="41"/>
      <c r="W26" s="481"/>
      <c r="Y26" s="40"/>
      <c r="Z26" s="169"/>
      <c r="AA26" s="41"/>
      <c r="AB26" s="481"/>
      <c r="AC26" s="168"/>
      <c r="AE26" s="169"/>
      <c r="AF26" s="41"/>
      <c r="AG26" s="481"/>
      <c r="AJ26" s="169"/>
      <c r="AK26" s="41"/>
      <c r="AL26" s="481"/>
      <c r="AM26" s="168"/>
      <c r="AO26" s="169"/>
      <c r="AP26" s="41"/>
      <c r="AQ26" s="160"/>
    </row>
    <row r="27" spans="2:43" ht="30.2" customHeight="1">
      <c r="B27" s="521" t="s">
        <v>444</v>
      </c>
      <c r="C27" s="605">
        <v>2</v>
      </c>
      <c r="D27" s="522"/>
      <c r="E27" s="523" t="s">
        <v>476</v>
      </c>
      <c r="F27" s="518">
        <v>330</v>
      </c>
      <c r="G27" s="524">
        <f>IF(SUM(G28:G32)&lt;330,SUM(G28:I32),330)</f>
        <v>0</v>
      </c>
      <c r="J27" s="40"/>
      <c r="P27" s="179"/>
      <c r="Q27" s="176"/>
      <c r="R27" s="484"/>
      <c r="S27" s="178"/>
      <c r="T27" s="48"/>
      <c r="U27" s="175"/>
      <c r="V27" s="176"/>
      <c r="W27" s="484"/>
      <c r="X27" s="47"/>
      <c r="Y27" s="48"/>
      <c r="Z27" s="175"/>
      <c r="AA27" s="176"/>
      <c r="AB27" s="484"/>
      <c r="AC27" s="178"/>
      <c r="AD27" s="47"/>
      <c r="AE27" s="175"/>
      <c r="AF27" s="176"/>
      <c r="AG27" s="484"/>
      <c r="AH27" s="47"/>
      <c r="AI27" s="47"/>
      <c r="AJ27" s="175"/>
      <c r="AK27" s="176"/>
      <c r="AL27" s="484"/>
      <c r="AM27" s="178"/>
      <c r="AN27" s="47"/>
      <c r="AO27" s="175"/>
      <c r="AP27" s="176"/>
      <c r="AQ27" s="177"/>
    </row>
    <row r="28" spans="2:43" ht="15.75">
      <c r="B28" s="319" t="str">
        <f>B$22</f>
        <v>B.</v>
      </c>
      <c r="C28" s="320">
        <f>C$27</f>
        <v>2</v>
      </c>
      <c r="D28" s="321">
        <v>1</v>
      </c>
      <c r="E28" s="317" t="s">
        <v>271</v>
      </c>
      <c r="F28" s="321">
        <v>25</v>
      </c>
      <c r="G28" s="520">
        <f>IF(ISNUMBER(B.2!B25),B.2!B25,0)</f>
        <v>0</v>
      </c>
      <c r="J28" s="40"/>
      <c r="L28" s="477"/>
      <c r="P28" s="179"/>
      <c r="Q28" s="41"/>
      <c r="R28" s="481"/>
      <c r="S28" s="170"/>
      <c r="U28" s="179"/>
      <c r="V28" s="41"/>
      <c r="W28" s="481"/>
      <c r="Z28" s="179"/>
      <c r="AA28" s="41"/>
      <c r="AB28" s="481"/>
      <c r="AC28" s="170"/>
      <c r="AE28" s="179"/>
      <c r="AF28" s="41"/>
      <c r="AG28" s="481"/>
      <c r="AJ28" s="179"/>
      <c r="AK28" s="41"/>
      <c r="AL28" s="481"/>
      <c r="AM28" s="170"/>
      <c r="AO28" s="179"/>
      <c r="AP28" s="41"/>
      <c r="AQ28" s="160"/>
    </row>
    <row r="29" spans="2:43" ht="30.2" customHeight="1">
      <c r="B29" s="319" t="str">
        <f t="shared" ref="B29:B32" si="2">B$22</f>
        <v>B.</v>
      </c>
      <c r="C29" s="320" t="s">
        <v>436</v>
      </c>
      <c r="D29" s="321" t="s">
        <v>436</v>
      </c>
      <c r="E29" s="317" t="s">
        <v>529</v>
      </c>
      <c r="F29" s="321">
        <v>40</v>
      </c>
      <c r="G29" s="520">
        <f>IF(ISNUMBER(B.2!B26),B.2!B26,0)</f>
        <v>0</v>
      </c>
      <c r="P29" s="179"/>
      <c r="Q29" s="41"/>
      <c r="R29" s="481"/>
      <c r="S29" s="170"/>
      <c r="U29" s="179"/>
      <c r="V29" s="41"/>
      <c r="W29" s="481"/>
      <c r="Z29" s="179"/>
      <c r="AA29" s="41"/>
      <c r="AB29" s="481"/>
      <c r="AC29" s="170"/>
      <c r="AE29" s="179"/>
      <c r="AF29" s="41"/>
      <c r="AG29" s="481"/>
      <c r="AJ29" s="179"/>
      <c r="AK29" s="41"/>
      <c r="AL29" s="481"/>
      <c r="AM29" s="170"/>
      <c r="AO29" s="179"/>
      <c r="AP29" s="41"/>
      <c r="AQ29" s="160"/>
    </row>
    <row r="30" spans="2:43" s="50" customFormat="1" ht="30.2" customHeight="1">
      <c r="B30" s="319" t="str">
        <f t="shared" si="2"/>
        <v>B.</v>
      </c>
      <c r="C30" s="320" t="s">
        <v>436</v>
      </c>
      <c r="D30" s="321">
        <v>3</v>
      </c>
      <c r="E30" s="317" t="s">
        <v>272</v>
      </c>
      <c r="F30" s="321">
        <v>30</v>
      </c>
      <c r="G30" s="520">
        <f>IF(ISNUMBER(B.2!B27),B.2!B27,0)</f>
        <v>0</v>
      </c>
      <c r="H30" s="51"/>
      <c r="I30" s="51"/>
      <c r="J30" s="51"/>
      <c r="K30" s="51"/>
      <c r="L30" s="51"/>
      <c r="M30" s="51"/>
      <c r="N30" s="51"/>
      <c r="O30" s="51"/>
      <c r="P30" s="180"/>
      <c r="Q30" s="41"/>
      <c r="R30" s="481"/>
      <c r="S30" s="170"/>
      <c r="T30" s="28"/>
      <c r="U30" s="179"/>
      <c r="V30" s="41"/>
      <c r="W30" s="481"/>
      <c r="X30" s="23"/>
      <c r="Y30" s="28"/>
      <c r="Z30" s="179"/>
      <c r="AA30" s="41"/>
      <c r="AB30" s="481"/>
      <c r="AC30" s="170"/>
      <c r="AD30" s="23"/>
      <c r="AE30" s="179"/>
      <c r="AF30" s="41"/>
      <c r="AG30" s="481"/>
      <c r="AH30" s="23"/>
      <c r="AI30" s="23"/>
      <c r="AJ30" s="179"/>
      <c r="AK30" s="41"/>
      <c r="AL30" s="481"/>
      <c r="AM30" s="170"/>
      <c r="AN30" s="23"/>
      <c r="AO30" s="179"/>
      <c r="AP30" s="41"/>
      <c r="AQ30" s="160"/>
    </row>
    <row r="31" spans="2:43" s="52" customFormat="1" ht="30.2" customHeight="1">
      <c r="B31" s="319" t="str">
        <f t="shared" si="2"/>
        <v>B.</v>
      </c>
      <c r="C31" s="525">
        <f>C$27</f>
        <v>2</v>
      </c>
      <c r="D31" s="321">
        <v>4</v>
      </c>
      <c r="E31" s="250" t="s">
        <v>273</v>
      </c>
      <c r="F31" s="321">
        <v>120</v>
      </c>
      <c r="G31" s="520">
        <f>IF(ISNUMBER(B.2!B28),B.2!B28,0)</f>
        <v>0</v>
      </c>
      <c r="H31" s="40"/>
      <c r="I31" s="40"/>
      <c r="J31" s="40"/>
      <c r="K31" s="40"/>
      <c r="L31" s="40"/>
      <c r="M31" s="40"/>
      <c r="N31" s="40"/>
      <c r="O31" s="40"/>
      <c r="P31" s="169"/>
      <c r="Q31" s="41"/>
      <c r="R31" s="481"/>
      <c r="S31" s="181"/>
      <c r="T31" s="51"/>
      <c r="U31" s="180"/>
      <c r="V31" s="41"/>
      <c r="W31" s="481"/>
      <c r="X31" s="50"/>
      <c r="Y31" s="51"/>
      <c r="Z31" s="180"/>
      <c r="AA31" s="41"/>
      <c r="AB31" s="481"/>
      <c r="AC31" s="181"/>
      <c r="AD31" s="50"/>
      <c r="AE31" s="180"/>
      <c r="AF31" s="41"/>
      <c r="AG31" s="481"/>
      <c r="AH31" s="50"/>
      <c r="AI31" s="50"/>
      <c r="AJ31" s="180"/>
      <c r="AK31" s="41"/>
      <c r="AL31" s="481"/>
      <c r="AM31" s="181"/>
      <c r="AN31" s="50"/>
      <c r="AO31" s="180"/>
      <c r="AP31" s="41"/>
      <c r="AQ31" s="160"/>
    </row>
    <row r="32" spans="2:43" ht="30.2" customHeight="1">
      <c r="B32" s="319" t="str">
        <f t="shared" si="2"/>
        <v>B.</v>
      </c>
      <c r="C32" s="320">
        <f>C$27</f>
        <v>2</v>
      </c>
      <c r="D32" s="321">
        <v>5</v>
      </c>
      <c r="E32" s="317" t="s">
        <v>227</v>
      </c>
      <c r="F32" s="321">
        <v>135</v>
      </c>
      <c r="G32" s="520">
        <f>IF(ISNUMBER(B.2!B29),B.2!B29,0)</f>
        <v>0</v>
      </c>
      <c r="P32" s="179"/>
      <c r="Q32" s="41"/>
      <c r="R32" s="481"/>
      <c r="S32" s="168"/>
      <c r="T32" s="40"/>
      <c r="U32" s="169"/>
      <c r="V32" s="41"/>
      <c r="W32" s="481"/>
      <c r="X32" s="52"/>
      <c r="Y32" s="40"/>
      <c r="Z32" s="169"/>
      <c r="AA32" s="41"/>
      <c r="AB32" s="481"/>
      <c r="AC32" s="168"/>
      <c r="AD32" s="52"/>
      <c r="AE32" s="169"/>
      <c r="AF32" s="41"/>
      <c r="AG32" s="481"/>
      <c r="AH32" s="52"/>
      <c r="AI32" s="52"/>
      <c r="AJ32" s="169"/>
      <c r="AK32" s="41"/>
      <c r="AL32" s="481"/>
      <c r="AM32" s="168"/>
      <c r="AN32" s="52"/>
      <c r="AO32" s="169"/>
      <c r="AP32" s="41"/>
      <c r="AQ32" s="160"/>
    </row>
    <row r="33" spans="2:44" ht="30.2" customHeight="1" thickBot="1">
      <c r="B33" s="530" t="s">
        <v>4</v>
      </c>
      <c r="C33" s="531">
        <v>3</v>
      </c>
      <c r="D33" s="532"/>
      <c r="E33" s="533" t="s">
        <v>437</v>
      </c>
      <c r="F33" s="534">
        <v>10</v>
      </c>
      <c r="G33" s="535">
        <f>B.3!D6</f>
        <v>0</v>
      </c>
      <c r="H33" s="40"/>
      <c r="I33" s="40"/>
      <c r="J33" s="40"/>
      <c r="K33" s="40"/>
      <c r="L33" s="40"/>
      <c r="M33" s="40"/>
      <c r="N33" s="40"/>
      <c r="O33" s="40"/>
      <c r="P33" s="40"/>
      <c r="Q33" s="251"/>
      <c r="R33" s="482"/>
      <c r="S33" s="170"/>
      <c r="U33" s="179"/>
      <c r="V33" s="251"/>
      <c r="W33" s="482"/>
      <c r="Z33" s="179"/>
      <c r="AA33" s="251"/>
      <c r="AB33" s="482"/>
      <c r="AC33" s="170"/>
      <c r="AE33" s="179"/>
      <c r="AF33" s="251"/>
      <c r="AG33" s="482"/>
      <c r="AJ33" s="179"/>
      <c r="AK33" s="251"/>
      <c r="AL33" s="482"/>
      <c r="AM33" s="170"/>
      <c r="AO33" s="179"/>
      <c r="AP33" s="251"/>
      <c r="AQ33" s="326"/>
    </row>
    <row r="34" spans="2:44" s="44" customFormat="1" ht="10.5" customHeight="1" thickBot="1">
      <c r="B34" s="190"/>
      <c r="C34" s="344"/>
      <c r="D34" s="334"/>
      <c r="E34" s="40"/>
      <c r="F34" s="54"/>
      <c r="G34" s="43"/>
      <c r="H34" s="46"/>
      <c r="I34" s="46"/>
      <c r="J34" s="46"/>
      <c r="K34" s="46"/>
      <c r="L34" s="46"/>
      <c r="M34" s="46"/>
      <c r="N34" s="46"/>
      <c r="O34" s="46"/>
      <c r="P34" s="46"/>
      <c r="Q34" s="260"/>
      <c r="R34" s="483"/>
      <c r="S34" s="23"/>
      <c r="T34" s="28"/>
      <c r="U34" s="28"/>
      <c r="V34" s="43"/>
      <c r="W34" s="481"/>
      <c r="X34" s="23"/>
      <c r="Y34" s="28"/>
      <c r="Z34" s="28"/>
      <c r="AA34" s="43"/>
      <c r="AB34" s="483"/>
      <c r="AC34" s="23"/>
      <c r="AD34" s="23"/>
      <c r="AE34" s="28"/>
      <c r="AF34" s="43"/>
      <c r="AG34" s="481"/>
      <c r="AH34" s="23"/>
      <c r="AI34" s="23"/>
      <c r="AJ34" s="28"/>
      <c r="AK34" s="43"/>
      <c r="AL34" s="483"/>
      <c r="AM34" s="23"/>
      <c r="AN34" s="23"/>
      <c r="AO34" s="28"/>
      <c r="AP34" s="43"/>
      <c r="AQ34" s="160"/>
    </row>
    <row r="35" spans="2:44" s="47" customFormat="1" ht="30.2" customHeight="1">
      <c r="B35" s="55" t="s">
        <v>8</v>
      </c>
      <c r="C35" s="56"/>
      <c r="D35" s="341"/>
      <c r="E35" s="202" t="s">
        <v>479</v>
      </c>
      <c r="F35" s="609">
        <v>125</v>
      </c>
      <c r="G35" s="230">
        <f>IF((G36+G37)&lt;125,(G36+G37),125)</f>
        <v>0</v>
      </c>
      <c r="H35" s="48"/>
      <c r="I35" s="48"/>
      <c r="J35" s="48"/>
      <c r="K35" s="48"/>
      <c r="L35" s="48"/>
      <c r="M35" s="48"/>
      <c r="N35" s="48"/>
      <c r="O35" s="48"/>
      <c r="P35" s="175"/>
      <c r="Q35" s="182"/>
      <c r="R35" s="164"/>
      <c r="S35" s="174"/>
      <c r="T35" s="46"/>
      <c r="U35" s="171"/>
      <c r="V35" s="182"/>
      <c r="W35" s="164"/>
      <c r="X35" s="44"/>
      <c r="Y35" s="46"/>
      <c r="Z35" s="171"/>
      <c r="AA35" s="182"/>
      <c r="AB35" s="164"/>
      <c r="AC35" s="174"/>
      <c r="AD35" s="44"/>
      <c r="AE35" s="171"/>
      <c r="AF35" s="182"/>
      <c r="AG35" s="164"/>
      <c r="AH35" s="44"/>
      <c r="AI35" s="44"/>
      <c r="AJ35" s="171"/>
      <c r="AK35" s="182"/>
      <c r="AL35" s="164"/>
      <c r="AM35" s="174"/>
      <c r="AN35" s="44"/>
      <c r="AO35" s="171"/>
      <c r="AP35" s="182"/>
      <c r="AQ35" s="173"/>
    </row>
    <row r="36" spans="2:44" ht="30.2" customHeight="1">
      <c r="B36" s="53" t="s">
        <v>477</v>
      </c>
      <c r="C36" s="608">
        <v>1</v>
      </c>
      <c r="D36" s="37"/>
      <c r="E36" s="49" t="s">
        <v>0</v>
      </c>
      <c r="F36" s="37">
        <v>75</v>
      </c>
      <c r="G36" s="229">
        <f>'C.1'!C11</f>
        <v>0</v>
      </c>
      <c r="P36" s="179"/>
      <c r="Q36" s="41"/>
      <c r="R36" s="481"/>
      <c r="S36" s="170"/>
      <c r="U36" s="179"/>
      <c r="V36" s="41"/>
      <c r="W36" s="481"/>
      <c r="Z36" s="179"/>
      <c r="AA36" s="41"/>
      <c r="AB36" s="481"/>
      <c r="AC36" s="170"/>
      <c r="AE36" s="179"/>
      <c r="AF36" s="41"/>
      <c r="AG36" s="481"/>
      <c r="AJ36" s="179"/>
      <c r="AK36" s="41"/>
      <c r="AL36" s="481"/>
      <c r="AM36" s="170"/>
      <c r="AO36" s="179"/>
      <c r="AP36" s="41"/>
      <c r="AQ36" s="160"/>
    </row>
    <row r="37" spans="2:44" ht="30.2" customHeight="1" thickBot="1">
      <c r="B37" s="323" t="s">
        <v>477</v>
      </c>
      <c r="C37" s="607">
        <v>2</v>
      </c>
      <c r="D37" s="58"/>
      <c r="E37" s="57" t="s">
        <v>14</v>
      </c>
      <c r="F37" s="58">
        <v>70</v>
      </c>
      <c r="G37" s="264">
        <f>'C.2'!D14</f>
        <v>0</v>
      </c>
      <c r="Q37" s="185"/>
      <c r="R37" s="481"/>
      <c r="S37" s="170"/>
      <c r="U37" s="179"/>
      <c r="V37" s="42"/>
      <c r="W37" s="481"/>
      <c r="Z37" s="179"/>
      <c r="AA37" s="42"/>
      <c r="AB37" s="481"/>
      <c r="AC37" s="170"/>
      <c r="AE37" s="179"/>
      <c r="AF37" s="42"/>
      <c r="AG37" s="481"/>
      <c r="AJ37" s="179"/>
      <c r="AK37" s="42"/>
      <c r="AL37" s="481"/>
      <c r="AM37" s="170"/>
      <c r="AO37" s="179"/>
      <c r="AP37" s="42"/>
      <c r="AQ37" s="160"/>
    </row>
    <row r="38" spans="2:44" s="44" customFormat="1" ht="10.5" customHeight="1" thickBot="1">
      <c r="B38" s="23"/>
      <c r="C38" s="343"/>
      <c r="D38" s="343"/>
      <c r="E38" s="23"/>
      <c r="F38" s="23"/>
      <c r="G38" s="23"/>
      <c r="H38" s="61"/>
      <c r="I38" s="61"/>
      <c r="J38" s="61"/>
      <c r="K38" s="61"/>
      <c r="L38" s="61"/>
      <c r="M38" s="61"/>
      <c r="N38" s="61"/>
      <c r="O38" s="61"/>
      <c r="P38" s="61"/>
      <c r="Q38" s="43"/>
      <c r="R38" s="483"/>
      <c r="S38" s="23"/>
      <c r="T38" s="28"/>
      <c r="U38" s="28"/>
      <c r="V38" s="43"/>
      <c r="W38" s="483"/>
      <c r="X38" s="23"/>
      <c r="Y38" s="28"/>
      <c r="Z38" s="28"/>
      <c r="AA38" s="43"/>
      <c r="AB38" s="483"/>
      <c r="AC38" s="23"/>
      <c r="AD38" s="23"/>
      <c r="AE38" s="28"/>
      <c r="AF38" s="43"/>
      <c r="AG38" s="483"/>
      <c r="AH38" s="23"/>
      <c r="AI38" s="23"/>
      <c r="AJ38" s="28"/>
      <c r="AK38" s="43"/>
      <c r="AL38" s="483"/>
      <c r="AM38" s="23"/>
      <c r="AN38" s="23"/>
      <c r="AO38" s="28"/>
      <c r="AP38" s="43"/>
      <c r="AQ38" s="314"/>
    </row>
    <row r="39" spans="2:44" s="47" customFormat="1" ht="30.2" customHeight="1">
      <c r="B39" s="59" t="s">
        <v>9</v>
      </c>
      <c r="C39" s="60"/>
      <c r="D39" s="342"/>
      <c r="E39" s="203" t="s">
        <v>10</v>
      </c>
      <c r="F39" s="611">
        <v>205</v>
      </c>
      <c r="G39" s="231">
        <f>IF((G40+G41)&lt;205,(G40+G41),205)</f>
        <v>0</v>
      </c>
      <c r="H39" s="62"/>
      <c r="I39" s="62"/>
      <c r="J39" s="62"/>
      <c r="K39" s="62"/>
      <c r="L39" s="62"/>
      <c r="M39" s="62"/>
      <c r="N39" s="62"/>
      <c r="O39" s="62"/>
      <c r="P39" s="62"/>
      <c r="Q39" s="183"/>
      <c r="R39" s="164"/>
      <c r="S39" s="174"/>
      <c r="T39" s="46"/>
      <c r="U39" s="171"/>
      <c r="V39" s="183"/>
      <c r="W39" s="164"/>
      <c r="X39" s="44"/>
      <c r="Y39" s="46"/>
      <c r="Z39" s="171"/>
      <c r="AA39" s="183"/>
      <c r="AB39" s="164"/>
      <c r="AC39" s="174"/>
      <c r="AD39" s="44"/>
      <c r="AE39" s="171"/>
      <c r="AF39" s="183"/>
      <c r="AG39" s="164"/>
      <c r="AH39" s="44"/>
      <c r="AI39" s="44"/>
      <c r="AJ39" s="171"/>
      <c r="AK39" s="183"/>
      <c r="AL39" s="164"/>
      <c r="AM39" s="174"/>
      <c r="AN39" s="44"/>
      <c r="AO39" s="171"/>
      <c r="AP39" s="183"/>
      <c r="AQ39" s="173"/>
    </row>
    <row r="40" spans="2:44" ht="30.2" customHeight="1">
      <c r="B40" s="53" t="s">
        <v>478</v>
      </c>
      <c r="C40" s="606">
        <v>1</v>
      </c>
      <c r="D40" s="345"/>
      <c r="E40" s="66" t="s">
        <v>532</v>
      </c>
      <c r="F40" s="37">
        <v>175</v>
      </c>
      <c r="G40" s="141">
        <f>D!B8</f>
        <v>0</v>
      </c>
      <c r="Q40" s="184"/>
      <c r="R40" s="481"/>
      <c r="S40" s="170"/>
      <c r="U40" s="179"/>
      <c r="V40" s="184"/>
      <c r="W40" s="481"/>
      <c r="Z40" s="179"/>
      <c r="AA40" s="184"/>
      <c r="AB40" s="481"/>
      <c r="AC40" s="170"/>
      <c r="AE40" s="179"/>
      <c r="AF40" s="184"/>
      <c r="AG40" s="481"/>
      <c r="AJ40" s="179"/>
      <c r="AK40" s="184"/>
      <c r="AL40" s="481"/>
      <c r="AM40" s="170"/>
      <c r="AO40" s="179"/>
      <c r="AP40" s="184"/>
      <c r="AQ40" s="160"/>
      <c r="AR40" s="170"/>
    </row>
    <row r="41" spans="2:44" ht="30.2" customHeight="1" thickBot="1">
      <c r="B41" s="346" t="s">
        <v>478</v>
      </c>
      <c r="C41" s="607">
        <v>2</v>
      </c>
      <c r="D41" s="58"/>
      <c r="E41" s="63" t="s">
        <v>530</v>
      </c>
      <c r="F41" s="67">
        <v>55</v>
      </c>
      <c r="G41" s="68">
        <f>D!B15</f>
        <v>0</v>
      </c>
      <c r="Q41" s="185"/>
      <c r="R41" s="485"/>
      <c r="V41" s="185"/>
      <c r="W41" s="492"/>
      <c r="X41" s="170"/>
      <c r="AA41" s="185"/>
      <c r="AB41" s="485"/>
      <c r="AF41" s="185"/>
      <c r="AG41" s="492"/>
      <c r="AH41" s="170"/>
      <c r="AK41" s="185"/>
      <c r="AL41" s="485"/>
      <c r="AP41" s="185"/>
      <c r="AQ41" s="478"/>
      <c r="AR41" s="170"/>
    </row>
    <row r="42" spans="2:44" ht="32.25" customHeight="1" thickBot="1">
      <c r="B42" s="190"/>
      <c r="C42" s="162"/>
      <c r="D42" s="226"/>
      <c r="E42" s="204" t="s">
        <v>5</v>
      </c>
      <c r="F42" s="205">
        <v>1000</v>
      </c>
      <c r="G42" s="206"/>
      <c r="Q42" s="187"/>
      <c r="R42" s="186"/>
      <c r="V42" s="188"/>
      <c r="W42" s="186"/>
      <c r="AA42" s="188"/>
      <c r="AB42" s="186"/>
      <c r="AF42" s="188"/>
      <c r="AG42" s="186"/>
      <c r="AK42" s="188"/>
      <c r="AL42" s="186"/>
      <c r="AP42" s="188"/>
      <c r="AQ42" s="186"/>
    </row>
    <row r="43" spans="2:44" ht="15.75">
      <c r="B43" s="190"/>
      <c r="C43" s="162"/>
      <c r="D43" s="226"/>
      <c r="E43" s="189"/>
      <c r="F43" s="190"/>
    </row>
    <row r="44" spans="2:44" ht="15.75">
      <c r="E44" s="189"/>
    </row>
    <row r="45" spans="2:44" ht="15.75">
      <c r="E45" s="189"/>
    </row>
    <row r="46" spans="2:44" ht="15.75">
      <c r="E46" s="189"/>
    </row>
    <row r="47" spans="2:44" ht="15.75">
      <c r="E47" s="189"/>
    </row>
    <row r="48" spans="2:44" ht="15.75">
      <c r="E48" s="189"/>
    </row>
  </sheetData>
  <sheetProtection algorithmName="SHA-512" hashValue="0ZareS/PeB62wUJ0eqB+qGvAZox40PEwarWvt44XbMLfZepCwx4/UmmftiROmK+XxJ6zP4J0vtBYPSR1CJEhTg==" saltValue="e+DELXe2/Sbk+oEux8o4fA==" spinCount="100000" sheet="1" selectLockedCells="1"/>
  <mergeCells count="15">
    <mergeCell ref="B1:G1"/>
    <mergeCell ref="B9:D10"/>
    <mergeCell ref="E9:E10"/>
    <mergeCell ref="F8:G8"/>
    <mergeCell ref="C3:G3"/>
    <mergeCell ref="B5:D5"/>
    <mergeCell ref="AD3:AD4"/>
    <mergeCell ref="AI3:AI4"/>
    <mergeCell ref="AN3:AN4"/>
    <mergeCell ref="E7:G7"/>
    <mergeCell ref="J3:J7"/>
    <mergeCell ref="K3:M7"/>
    <mergeCell ref="O3:O4"/>
    <mergeCell ref="T3:T4"/>
    <mergeCell ref="Y3:Y4"/>
  </mergeCells>
  <phoneticPr fontId="13" type="noConversion"/>
  <conditionalFormatting sqref="A12:G12 I12:I13 AR12:IU15 R12:S20 W12:X20 AB12:AC20 AG12:AI20 AL12:AN20 AQ12:AQ20 A13:A18 H14:P15 A27:A33 H27:P33 AR27:IU33 A36:D36 H36:P36 AQ36:IU36 F36:F37 A40 AR40:IU40">
    <cfRule type="expression" dxfId="18" priority="7" stopIfTrue="1">
      <formula>#REF!="n"</formula>
    </cfRule>
  </conditionalFormatting>
  <conditionalFormatting sqref="B40:D41">
    <cfRule type="expression" dxfId="17" priority="9" stopIfTrue="1">
      <formula>#REF!="n"</formula>
    </cfRule>
  </conditionalFormatting>
  <conditionalFormatting sqref="B13:F19">
    <cfRule type="expression" dxfId="16" priority="6" stopIfTrue="1">
      <formula>#REF!="n"</formula>
    </cfRule>
  </conditionalFormatting>
  <conditionalFormatting sqref="B28:F32 R28:U34 W28:Z34 AB28:AE34 AG28:AJ34 AL28:AO34 AQ28:AQ34">
    <cfRule type="expression" dxfId="15" priority="28" stopIfTrue="1">
      <formula>#REF!="n"</formula>
    </cfRule>
  </conditionalFormatting>
  <conditionalFormatting sqref="G33">
    <cfRule type="expression" dxfId="14" priority="1" stopIfTrue="1">
      <formula>#REF!="n"</formula>
    </cfRule>
  </conditionalFormatting>
  <conditionalFormatting sqref="H13 J13:P13">
    <cfRule type="expression" dxfId="13" priority="10" stopIfTrue="1">
      <formula>#REF!="n"</formula>
    </cfRule>
  </conditionalFormatting>
  <conditionalFormatting sqref="R36:U36 R40:U41">
    <cfRule type="expression" dxfId="12" priority="15" stopIfTrue="1">
      <formula>#REF!="n"</formula>
    </cfRule>
  </conditionalFormatting>
  <conditionalFormatting sqref="T14:U20 Y14:Z20 AE14:AE20 AJ14:AJ20 AO14:AO20 Q22 Q27 Q34 F40:F41">
    <cfRule type="expression" dxfId="11" priority="26" stopIfTrue="1">
      <formula>#REF!="n"</formula>
    </cfRule>
  </conditionalFormatting>
  <conditionalFormatting sqref="V22 V27 V34">
    <cfRule type="expression" dxfId="10" priority="24" stopIfTrue="1">
      <formula>#REF!="n"</formula>
    </cfRule>
  </conditionalFormatting>
  <conditionalFormatting sqref="W36:Z36 W40:Z41">
    <cfRule type="expression" dxfId="9" priority="14" stopIfTrue="1">
      <formula>#REF!="n"</formula>
    </cfRule>
  </conditionalFormatting>
  <conditionalFormatting sqref="AA22 AA27 AA34">
    <cfRule type="expression" dxfId="8" priority="22" stopIfTrue="1">
      <formula>#REF!="n"</formula>
    </cfRule>
  </conditionalFormatting>
  <conditionalFormatting sqref="AB36:AE36 AB40:AE41">
    <cfRule type="expression" dxfId="7" priority="13" stopIfTrue="1">
      <formula>#REF!="n"</formula>
    </cfRule>
  </conditionalFormatting>
  <conditionalFormatting sqref="AD15:AD20 AQ16:AR16 AV16:IU16 I16:P18 H17:H18 AR17:IU18 B22:D22 G22 B23:F26 G27 C34:G34 D37">
    <cfRule type="expression" dxfId="6" priority="38" stopIfTrue="1">
      <formula>#REF!="n"</formula>
    </cfRule>
  </conditionalFormatting>
  <conditionalFormatting sqref="AF22 AF27 AF34">
    <cfRule type="expression" dxfId="5" priority="20" stopIfTrue="1">
      <formula>#REF!="n"</formula>
    </cfRule>
  </conditionalFormatting>
  <conditionalFormatting sqref="AG36:AJ36 AG40:AJ41">
    <cfRule type="expression" dxfId="4" priority="12" stopIfTrue="1">
      <formula>#REF!="n"</formula>
    </cfRule>
  </conditionalFormatting>
  <conditionalFormatting sqref="AK22 AK27 AK34">
    <cfRule type="expression" dxfId="3" priority="18" stopIfTrue="1">
      <formula>#REF!="n"</formula>
    </cfRule>
  </conditionalFormatting>
  <conditionalFormatting sqref="AL36:AO36 AL40:AO41">
    <cfRule type="expression" dxfId="2" priority="11" stopIfTrue="1">
      <formula>#REF!="n"</formula>
    </cfRule>
  </conditionalFormatting>
  <conditionalFormatting sqref="AP22 AP27 AP34">
    <cfRule type="expression" dxfId="1" priority="16" stopIfTrue="1">
      <formula>#REF!="n"</formula>
    </cfRule>
  </conditionalFormatting>
  <conditionalFormatting sqref="AQ40:AQ41">
    <cfRule type="expression" dxfId="0" priority="17" stopIfTrue="1">
      <formula>#REF!="n"</formula>
    </cfRule>
  </conditionalFormatting>
  <dataValidations xWindow="738" yWindow="794" count="3">
    <dataValidation type="list" allowBlank="1" showInputMessage="1" showErrorMessage="1" prompt="Kein KGA-Punkteziel festgelegt bzw. Ziel nicht erreicht (0 Punkte)_x000a_&gt;=750 KGA Ziel vereinbart und erreicht (10 Punkte)_x000a_&gt;=750 KGA Ziel vereinbart und Vergabe durch Architekturwettbewerb (20 Punkte)_x000a_+ 10 Zusatzpunkte bei Beauftragung Vorprüfung_x000a__x000a_" sqref="G12" xr:uid="{00000000-0002-0000-0100-000000000000}">
      <formula1>$H$12:$H$15</formula1>
    </dataValidation>
    <dataValidation type="list" allowBlank="1" showInputMessage="1" showErrorMessage="1" sqref="E5" xr:uid="{00000000-0002-0000-0100-000001000000}">
      <formula1>$H$21:$H$22</formula1>
    </dataValidation>
    <dataValidation type="list" allowBlank="1" showInputMessage="1" showErrorMessage="1" errorTitle="Falscher Wert!" error="Bitte geben Sie die Zahl 0, 5, 10 oder 15 ein." prompt="Keine Berechnung durchgeführt (0 Punkte)_x000a_Eine Berechnung durchgeführt (5 Punkte)_x000a_Zwei Berechnungen durchgeführt (10 Punkte)_x000a_Jeweils 5 Zusatzpunkte bei Umsetzung der ökologischeren und wirtschaftlicheren Variante" sqref="G13" xr:uid="{00000000-0002-0000-0100-000002000000}">
      <formula1>$I$12:$I$16</formula1>
    </dataValidation>
  </dataValidations>
  <printOptions horizontalCentered="1"/>
  <pageMargins left="0.59055118110236227" right="0.59055118110236227" top="0.59055118110236227" bottom="0.59055118110236227" header="0.31496062992125984" footer="0.31496062992125984"/>
  <pageSetup paperSize="9" scale="4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pageSetUpPr fitToPage="1"/>
  </sheetPr>
  <dimension ref="A1:L52"/>
  <sheetViews>
    <sheetView showGridLines="0" zoomScale="70" zoomScaleNormal="70" workbookViewId="0">
      <selection activeCell="F31" sqref="F31"/>
    </sheetView>
  </sheetViews>
  <sheetFormatPr baseColWidth="10" defaultColWidth="11.42578125" defaultRowHeight="12.75"/>
  <cols>
    <col min="1" max="1" width="86.42578125" style="78" customWidth="1"/>
    <col min="2" max="3" width="17.42578125" style="78" customWidth="1"/>
    <col min="4" max="4" width="17.85546875" style="81" customWidth="1"/>
    <col min="5" max="5" width="19.85546875" style="78" customWidth="1"/>
    <col min="6" max="6" width="14.5703125" style="432" customWidth="1"/>
    <col min="7" max="7" width="14.5703125" style="83" hidden="1" customWidth="1"/>
    <col min="8" max="8" width="14.5703125" style="78" hidden="1" customWidth="1"/>
    <col min="9" max="10" width="23.85546875" style="78" customWidth="1"/>
    <col min="11" max="11" width="19" style="78" hidden="1" customWidth="1"/>
    <col min="12" max="12" width="21.85546875" style="78" hidden="1" customWidth="1"/>
    <col min="13" max="13" width="0" style="78" hidden="1" customWidth="1"/>
    <col min="14" max="16384" width="11.42578125" style="78"/>
  </cols>
  <sheetData>
    <row r="1" spans="1:12" ht="24.95" customHeight="1">
      <c r="A1" s="820" t="s">
        <v>497</v>
      </c>
      <c r="B1" s="820"/>
      <c r="C1" s="820"/>
      <c r="D1" s="820"/>
      <c r="E1" s="820"/>
      <c r="F1" s="820"/>
      <c r="G1" s="820"/>
    </row>
    <row r="2" spans="1:12" ht="7.5" customHeight="1">
      <c r="A2" s="79"/>
      <c r="B2" s="79"/>
      <c r="C2" s="79"/>
      <c r="D2" s="80"/>
    </row>
    <row r="3" spans="1:12" ht="7.5" customHeight="1" thickBot="1">
      <c r="A3" s="79"/>
      <c r="B3" s="79"/>
      <c r="C3" s="79"/>
      <c r="D3" s="80"/>
    </row>
    <row r="4" spans="1:12" ht="42.75" customHeight="1" thickBot="1">
      <c r="A4" s="570" t="s">
        <v>455</v>
      </c>
      <c r="B4" s="827" t="s">
        <v>461</v>
      </c>
      <c r="C4" s="809"/>
      <c r="D4" s="809"/>
      <c r="E4" s="809"/>
      <c r="F4" s="596" t="s">
        <v>20</v>
      </c>
      <c r="G4" s="78"/>
      <c r="I4" s="434" t="s">
        <v>225</v>
      </c>
      <c r="J4" s="83"/>
    </row>
    <row r="5" spans="1:12" s="81" customFormat="1" ht="24.95" customHeight="1">
      <c r="A5" s="802" t="s">
        <v>565</v>
      </c>
      <c r="B5" s="803"/>
      <c r="C5" s="803"/>
      <c r="D5" s="803"/>
      <c r="E5" s="804"/>
      <c r="F5" s="633"/>
      <c r="G5" s="81">
        <v>0</v>
      </c>
      <c r="H5" s="81">
        <v>10</v>
      </c>
      <c r="I5" s="821"/>
      <c r="J5" s="83"/>
      <c r="L5" s="81">
        <v>0</v>
      </c>
    </row>
    <row r="6" spans="1:12" s="81" customFormat="1" ht="24.95" customHeight="1" thickBot="1">
      <c r="A6" s="552" t="s">
        <v>419</v>
      </c>
      <c r="B6" s="799">
        <v>10</v>
      </c>
      <c r="C6" s="800"/>
      <c r="D6" s="800"/>
      <c r="E6" s="801"/>
      <c r="F6" s="597"/>
      <c r="G6" s="233"/>
      <c r="H6" s="233"/>
      <c r="I6" s="822"/>
      <c r="J6" s="190"/>
      <c r="L6" s="81">
        <v>5</v>
      </c>
    </row>
    <row r="7" spans="1:12" s="81" customFormat="1" ht="33" customHeight="1">
      <c r="A7" s="659" t="s">
        <v>566</v>
      </c>
      <c r="B7" s="823" t="s">
        <v>458</v>
      </c>
      <c r="C7" s="823"/>
      <c r="D7" s="553" t="s">
        <v>459</v>
      </c>
      <c r="E7" s="554" t="s">
        <v>460</v>
      </c>
      <c r="F7" s="628"/>
      <c r="G7" s="233"/>
      <c r="H7" s="233"/>
      <c r="I7" s="826"/>
      <c r="J7" s="84"/>
      <c r="L7" s="81">
        <v>10</v>
      </c>
    </row>
    <row r="8" spans="1:12" s="81" customFormat="1" ht="49.7" customHeight="1">
      <c r="A8" s="832" t="s">
        <v>567</v>
      </c>
      <c r="B8" s="824" t="s">
        <v>574</v>
      </c>
      <c r="C8" s="824"/>
      <c r="D8" s="828" t="s">
        <v>575</v>
      </c>
      <c r="E8" s="830" t="s">
        <v>576</v>
      </c>
      <c r="F8" s="805"/>
      <c r="G8" s="233">
        <v>0</v>
      </c>
      <c r="H8" s="233"/>
      <c r="I8" s="826"/>
      <c r="J8" s="84"/>
      <c r="L8" s="81">
        <v>15</v>
      </c>
    </row>
    <row r="9" spans="1:12" s="81" customFormat="1" ht="38.25" customHeight="1">
      <c r="A9" s="832"/>
      <c r="B9" s="824"/>
      <c r="C9" s="824"/>
      <c r="D9" s="828"/>
      <c r="E9" s="830"/>
      <c r="F9" s="806"/>
      <c r="G9" s="233">
        <v>15</v>
      </c>
      <c r="H9" s="233">
        <v>0</v>
      </c>
      <c r="I9" s="826"/>
      <c r="J9" s="84"/>
      <c r="L9" s="81">
        <v>20</v>
      </c>
    </row>
    <row r="10" spans="1:12" s="81" customFormat="1" ht="157.5" customHeight="1" thickBot="1">
      <c r="A10" s="833"/>
      <c r="B10" s="825"/>
      <c r="C10" s="825"/>
      <c r="D10" s="829"/>
      <c r="E10" s="831"/>
      <c r="F10" s="807"/>
      <c r="G10" s="233">
        <v>45</v>
      </c>
      <c r="H10" s="233">
        <v>10</v>
      </c>
      <c r="I10" s="826"/>
      <c r="J10" s="84"/>
      <c r="L10" s="81">
        <v>25</v>
      </c>
    </row>
    <row r="11" spans="1:12" s="81" customFormat="1" ht="36.75" customHeight="1">
      <c r="A11" s="802" t="s">
        <v>568</v>
      </c>
      <c r="B11" s="803"/>
      <c r="C11" s="803"/>
      <c r="D11" s="803"/>
      <c r="E11" s="804"/>
      <c r="F11" s="629"/>
      <c r="G11" s="233">
        <v>70</v>
      </c>
      <c r="H11" s="233">
        <v>20</v>
      </c>
      <c r="I11" s="834"/>
      <c r="J11" s="43"/>
      <c r="L11" s="81">
        <v>30</v>
      </c>
    </row>
    <row r="12" spans="1:12" s="81" customFormat="1" ht="42.75" customHeight="1" thickBot="1">
      <c r="A12" s="557" t="s">
        <v>537</v>
      </c>
      <c r="B12" s="825">
        <v>10</v>
      </c>
      <c r="C12" s="825"/>
      <c r="D12" s="825"/>
      <c r="E12" s="835"/>
      <c r="F12" s="598"/>
      <c r="G12" s="233">
        <v>10</v>
      </c>
      <c r="H12" s="233">
        <v>30</v>
      </c>
      <c r="I12" s="834"/>
      <c r="J12" s="43"/>
      <c r="L12" s="81">
        <v>35</v>
      </c>
    </row>
    <row r="13" spans="1:12" ht="16.5" thickBot="1">
      <c r="A13" s="556" t="s">
        <v>19</v>
      </c>
      <c r="B13" s="541"/>
      <c r="C13" s="541"/>
      <c r="D13" s="542"/>
      <c r="E13" s="542"/>
      <c r="F13" s="536">
        <f>IF(SUM(F5:F12)&lt;90,SUM(F5:F12),90)</f>
        <v>0</v>
      </c>
      <c r="G13" s="78"/>
      <c r="I13" s="433"/>
      <c r="J13" s="43"/>
      <c r="L13" s="81">
        <v>40</v>
      </c>
    </row>
    <row r="14" spans="1:12">
      <c r="A14" s="21"/>
      <c r="L14" s="81">
        <v>45</v>
      </c>
    </row>
    <row r="15" spans="1:12" ht="16.5" thickBot="1">
      <c r="A15" s="108"/>
      <c r="B15" s="108"/>
      <c r="C15" s="80"/>
      <c r="D15" s="80"/>
      <c r="E15" s="80"/>
      <c r="F15" s="80"/>
      <c r="G15" s="114"/>
      <c r="H15" s="84"/>
      <c r="I15" s="108"/>
      <c r="J15" s="108"/>
      <c r="L15" s="78">
        <v>50</v>
      </c>
    </row>
    <row r="16" spans="1:12" ht="45.75" customHeight="1" thickBot="1">
      <c r="A16" s="570" t="s">
        <v>456</v>
      </c>
      <c r="B16" s="808" t="s">
        <v>16</v>
      </c>
      <c r="C16" s="809"/>
      <c r="D16" s="810"/>
      <c r="E16" s="571" t="s">
        <v>559</v>
      </c>
      <c r="F16" s="599" t="s">
        <v>20</v>
      </c>
      <c r="G16" s="108"/>
      <c r="H16" s="108"/>
      <c r="I16" s="543" t="s">
        <v>225</v>
      </c>
      <c r="J16" s="84"/>
      <c r="L16" s="78">
        <v>60</v>
      </c>
    </row>
    <row r="17" spans="1:12" ht="30" customHeight="1">
      <c r="A17" s="773" t="s">
        <v>13</v>
      </c>
      <c r="B17" s="819" t="s">
        <v>307</v>
      </c>
      <c r="C17" s="819"/>
      <c r="D17" s="819"/>
      <c r="E17" s="840" t="s">
        <v>310</v>
      </c>
      <c r="F17" s="841"/>
      <c r="G17" s="108"/>
      <c r="H17" s="108"/>
      <c r="I17" s="459"/>
      <c r="J17" s="84"/>
      <c r="L17" s="78">
        <v>70</v>
      </c>
    </row>
    <row r="18" spans="1:12" ht="38.25" customHeight="1">
      <c r="A18" s="816"/>
      <c r="B18" s="843" t="s">
        <v>47</v>
      </c>
      <c r="C18" s="843"/>
      <c r="D18" s="843"/>
      <c r="E18" s="836"/>
      <c r="F18" s="841"/>
      <c r="G18" s="108"/>
      <c r="H18" s="108"/>
      <c r="I18" s="459"/>
      <c r="J18" s="84"/>
    </row>
    <row r="19" spans="1:12" ht="30" customHeight="1">
      <c r="A19" s="816"/>
      <c r="B19" s="843" t="s">
        <v>331</v>
      </c>
      <c r="C19" s="843"/>
      <c r="D19" s="843"/>
      <c r="E19" s="836"/>
      <c r="F19" s="841"/>
      <c r="G19" s="108"/>
      <c r="H19" s="108"/>
      <c r="I19" s="459"/>
      <c r="J19" s="84"/>
    </row>
    <row r="20" spans="1:12" ht="30" customHeight="1">
      <c r="A20" s="816"/>
      <c r="B20" s="844" t="s">
        <v>399</v>
      </c>
      <c r="C20" s="844"/>
      <c r="D20" s="844"/>
      <c r="E20" s="836"/>
      <c r="F20" s="842"/>
      <c r="G20" s="108"/>
      <c r="H20" s="108"/>
      <c r="I20" s="459"/>
      <c r="J20" s="84"/>
    </row>
    <row r="21" spans="1:12" ht="30" customHeight="1">
      <c r="A21" s="816"/>
      <c r="B21" s="771" t="s">
        <v>577</v>
      </c>
      <c r="C21" s="771"/>
      <c r="D21" s="771"/>
      <c r="E21" s="836">
        <v>10</v>
      </c>
      <c r="F21" s="837"/>
      <c r="G21" s="108">
        <v>0</v>
      </c>
      <c r="H21" s="108"/>
      <c r="I21" s="459"/>
      <c r="J21" s="84"/>
    </row>
    <row r="22" spans="1:12" ht="30" customHeight="1">
      <c r="A22" s="816"/>
      <c r="B22" s="813" t="s">
        <v>43</v>
      </c>
      <c r="C22" s="813"/>
      <c r="D22" s="813"/>
      <c r="E22" s="836"/>
      <c r="F22" s="838"/>
      <c r="G22" s="108">
        <v>10</v>
      </c>
      <c r="H22" s="108"/>
      <c r="I22" s="459"/>
      <c r="J22" s="84"/>
    </row>
    <row r="23" spans="1:12" ht="30" customHeight="1">
      <c r="A23" s="816"/>
      <c r="B23" s="771" t="s">
        <v>308</v>
      </c>
      <c r="C23" s="771"/>
      <c r="D23" s="771"/>
      <c r="E23" s="845">
        <v>5</v>
      </c>
      <c r="F23" s="630"/>
      <c r="G23" s="108">
        <v>0</v>
      </c>
      <c r="H23" s="108"/>
      <c r="I23" s="459"/>
      <c r="J23" s="84"/>
    </row>
    <row r="24" spans="1:12" ht="30" customHeight="1">
      <c r="A24" s="816"/>
      <c r="B24" s="813" t="s">
        <v>315</v>
      </c>
      <c r="C24" s="813"/>
      <c r="D24" s="813"/>
      <c r="E24" s="846"/>
      <c r="F24" s="631"/>
      <c r="G24" s="108">
        <v>5</v>
      </c>
      <c r="H24" s="108"/>
      <c r="I24" s="459"/>
      <c r="J24" s="84"/>
    </row>
    <row r="25" spans="1:12" ht="30" customHeight="1" thickBot="1">
      <c r="A25" s="774"/>
      <c r="B25" s="839" t="s">
        <v>314</v>
      </c>
      <c r="C25" s="839"/>
      <c r="D25" s="839"/>
      <c r="E25" s="339">
        <v>5</v>
      </c>
      <c r="F25" s="4"/>
      <c r="G25" s="108">
        <v>0</v>
      </c>
      <c r="H25" s="108"/>
      <c r="I25" s="459"/>
      <c r="J25" s="84"/>
    </row>
    <row r="26" spans="1:12" ht="24" customHeight="1">
      <c r="A26" s="773" t="s">
        <v>569</v>
      </c>
      <c r="B26" s="775" t="s">
        <v>562</v>
      </c>
      <c r="C26" s="775"/>
      <c r="D26" s="775"/>
      <c r="E26" s="788">
        <v>5</v>
      </c>
      <c r="F26" s="780"/>
      <c r="G26" s="429">
        <v>0</v>
      </c>
      <c r="H26" s="108"/>
      <c r="I26" s="473"/>
      <c r="J26" s="722"/>
    </row>
    <row r="27" spans="1:12" ht="30.75" customHeight="1" thickBot="1">
      <c r="A27" s="774"/>
      <c r="B27" s="776"/>
      <c r="C27" s="776"/>
      <c r="D27" s="776"/>
      <c r="E27" s="789"/>
      <c r="F27" s="781"/>
      <c r="G27" s="429">
        <v>5</v>
      </c>
      <c r="H27" s="108"/>
      <c r="I27" s="473"/>
      <c r="J27" s="722"/>
    </row>
    <row r="28" spans="1:12" ht="27" customHeight="1">
      <c r="A28" s="782" t="s">
        <v>394</v>
      </c>
      <c r="B28" s="784" t="s">
        <v>578</v>
      </c>
      <c r="C28" s="784"/>
      <c r="D28" s="784"/>
      <c r="E28" s="786">
        <v>10</v>
      </c>
      <c r="F28" s="780"/>
      <c r="G28" s="429">
        <v>0</v>
      </c>
      <c r="H28" s="108"/>
      <c r="I28" s="473"/>
      <c r="J28" s="722"/>
    </row>
    <row r="29" spans="1:12" ht="27" customHeight="1" thickBot="1">
      <c r="A29" s="783"/>
      <c r="B29" s="785"/>
      <c r="C29" s="785"/>
      <c r="D29" s="785"/>
      <c r="E29" s="787"/>
      <c r="F29" s="781"/>
      <c r="G29" s="428">
        <v>10</v>
      </c>
      <c r="H29" s="108"/>
      <c r="I29" s="473"/>
      <c r="J29" s="722"/>
    </row>
    <row r="30" spans="1:12" ht="27" customHeight="1" thickBot="1">
      <c r="A30" s="660" t="s">
        <v>543</v>
      </c>
      <c r="B30" s="777" t="s">
        <v>579</v>
      </c>
      <c r="C30" s="778"/>
      <c r="D30" s="779"/>
      <c r="E30" s="661">
        <v>5</v>
      </c>
      <c r="F30" s="4"/>
      <c r="G30" s="428"/>
      <c r="H30" s="108"/>
      <c r="I30" s="473"/>
      <c r="J30" s="722"/>
    </row>
    <row r="31" spans="1:12" ht="42" customHeight="1">
      <c r="A31" s="773" t="s">
        <v>570</v>
      </c>
      <c r="B31" s="818" t="s">
        <v>316</v>
      </c>
      <c r="C31" s="818"/>
      <c r="D31" s="818"/>
      <c r="E31" s="551">
        <v>5</v>
      </c>
      <c r="F31" s="4"/>
      <c r="G31" s="108">
        <v>5</v>
      </c>
      <c r="H31" s="108"/>
      <c r="I31" s="459"/>
      <c r="J31" s="84"/>
    </row>
    <row r="32" spans="1:12" ht="42" customHeight="1">
      <c r="A32" s="816"/>
      <c r="B32" s="770" t="s">
        <v>571</v>
      </c>
      <c r="C32" s="770"/>
      <c r="D32" s="770"/>
      <c r="E32" s="515">
        <v>5</v>
      </c>
      <c r="F32" s="540"/>
      <c r="G32" s="108">
        <v>0</v>
      </c>
      <c r="H32" s="108"/>
      <c r="I32" s="459"/>
      <c r="J32" s="84"/>
    </row>
    <row r="33" spans="1:12" ht="42" customHeight="1">
      <c r="A33" s="816"/>
      <c r="B33" s="771" t="s">
        <v>317</v>
      </c>
      <c r="C33" s="771"/>
      <c r="D33" s="771"/>
      <c r="E33" s="515">
        <v>3</v>
      </c>
      <c r="F33" s="4"/>
      <c r="G33" s="108">
        <v>3</v>
      </c>
      <c r="H33" s="108"/>
      <c r="I33" s="459"/>
      <c r="J33" s="84"/>
    </row>
    <row r="34" spans="1:12" ht="42" customHeight="1" thickBot="1">
      <c r="A34" s="817"/>
      <c r="B34" s="772" t="s">
        <v>393</v>
      </c>
      <c r="C34" s="772"/>
      <c r="D34" s="772"/>
      <c r="E34" s="670">
        <v>3</v>
      </c>
      <c r="F34" s="631"/>
      <c r="G34" s="108"/>
      <c r="H34" s="108"/>
      <c r="I34" s="459"/>
      <c r="J34" s="84"/>
    </row>
    <row r="35" spans="1:12" ht="45.75" customHeight="1">
      <c r="A35" s="773" t="s">
        <v>446</v>
      </c>
      <c r="B35" s="793" t="s">
        <v>457</v>
      </c>
      <c r="C35" s="793"/>
      <c r="D35" s="793"/>
      <c r="E35" s="766" t="s">
        <v>403</v>
      </c>
      <c r="F35" s="767"/>
      <c r="G35" s="233">
        <v>0</v>
      </c>
      <c r="H35" s="233">
        <v>0</v>
      </c>
      <c r="I35" s="459"/>
      <c r="J35" s="84"/>
    </row>
    <row r="36" spans="1:12" ht="37.5" customHeight="1">
      <c r="A36" s="816"/>
      <c r="B36" s="813"/>
      <c r="C36" s="813"/>
      <c r="D36" s="813"/>
      <c r="E36" s="768"/>
      <c r="F36" s="769"/>
      <c r="G36" s="233">
        <v>8</v>
      </c>
      <c r="H36" s="233">
        <v>4</v>
      </c>
      <c r="I36" s="459"/>
      <c r="J36" s="84"/>
    </row>
    <row r="37" spans="1:12" ht="37.5" customHeight="1">
      <c r="A37" s="816"/>
      <c r="B37" s="813" t="s">
        <v>572</v>
      </c>
      <c r="C37" s="813"/>
      <c r="D37" s="813"/>
      <c r="E37" s="549">
        <v>8</v>
      </c>
      <c r="F37" s="333"/>
      <c r="G37" s="233">
        <v>0</v>
      </c>
      <c r="H37" s="233">
        <v>0</v>
      </c>
      <c r="I37" s="459"/>
      <c r="J37" s="84"/>
    </row>
    <row r="38" spans="1:12" ht="37.5" customHeight="1">
      <c r="A38" s="816"/>
      <c r="B38" s="813" t="s">
        <v>563</v>
      </c>
      <c r="C38" s="813"/>
      <c r="D38" s="813"/>
      <c r="E38" s="549">
        <v>3</v>
      </c>
      <c r="F38" s="537"/>
      <c r="G38" s="233">
        <v>3</v>
      </c>
      <c r="H38" s="233">
        <v>5</v>
      </c>
      <c r="I38" s="459"/>
      <c r="J38" s="84"/>
    </row>
    <row r="39" spans="1:12" ht="37.5" customHeight="1">
      <c r="A39" s="816"/>
      <c r="B39" s="814" t="s">
        <v>564</v>
      </c>
      <c r="C39" s="814"/>
      <c r="D39" s="814"/>
      <c r="E39" s="549">
        <v>4</v>
      </c>
      <c r="F39" s="333"/>
      <c r="G39" s="233"/>
      <c r="H39" s="233"/>
      <c r="I39" s="459"/>
      <c r="J39" s="84"/>
    </row>
    <row r="40" spans="1:12" ht="96.75" customHeight="1" thickBot="1">
      <c r="A40" s="774"/>
      <c r="B40" s="815" t="s">
        <v>580</v>
      </c>
      <c r="C40" s="815"/>
      <c r="D40" s="815"/>
      <c r="E40" s="550">
        <v>5</v>
      </c>
      <c r="F40" s="672"/>
      <c r="G40" s="82"/>
      <c r="H40" s="82"/>
      <c r="I40" s="459"/>
      <c r="J40" s="84"/>
    </row>
    <row r="41" spans="1:12" ht="16.5" thickBot="1">
      <c r="A41" s="811" t="s">
        <v>19</v>
      </c>
      <c r="B41" s="812"/>
      <c r="C41" s="812"/>
      <c r="D41" s="85"/>
      <c r="E41" s="548"/>
      <c r="F41" s="529">
        <f>IF(SUM(F17:F40)&lt;70, SUM(F17:F40),70)</f>
        <v>0</v>
      </c>
      <c r="G41" s="115"/>
      <c r="H41" s="453"/>
      <c r="I41" s="115"/>
      <c r="J41" s="115"/>
    </row>
    <row r="43" spans="1:12" ht="15.75" customHeight="1" thickBot="1">
      <c r="A43" s="428"/>
      <c r="B43" s="428"/>
      <c r="C43" s="430"/>
      <c r="D43" s="428"/>
      <c r="E43" s="428"/>
      <c r="F43" s="454"/>
      <c r="G43" s="428"/>
      <c r="I43" s="428"/>
      <c r="J43" s="428"/>
      <c r="K43" s="428" t="s">
        <v>420</v>
      </c>
    </row>
    <row r="44" spans="1:12" ht="32.25" thickBot="1">
      <c r="A44" s="573" t="s">
        <v>462</v>
      </c>
      <c r="B44" s="790" t="s">
        <v>16</v>
      </c>
      <c r="C44" s="791"/>
      <c r="D44" s="792"/>
      <c r="E44" s="574" t="s">
        <v>463</v>
      </c>
      <c r="F44" s="599" t="s">
        <v>20</v>
      </c>
      <c r="G44" s="108">
        <v>0</v>
      </c>
      <c r="I44" s="543" t="s">
        <v>225</v>
      </c>
      <c r="J44" s="84"/>
      <c r="K44" s="497" t="s">
        <v>415</v>
      </c>
      <c r="L44" s="498">
        <v>1000</v>
      </c>
    </row>
    <row r="45" spans="1:12" ht="111.75" customHeight="1" thickBot="1">
      <c r="A45" s="782" t="s">
        <v>573</v>
      </c>
      <c r="B45" s="793" t="s">
        <v>581</v>
      </c>
      <c r="C45" s="793"/>
      <c r="D45" s="793"/>
      <c r="E45" s="513">
        <v>10</v>
      </c>
      <c r="F45" s="544"/>
      <c r="G45" s="108">
        <v>10</v>
      </c>
      <c r="I45" s="459"/>
      <c r="J45" s="84"/>
      <c r="K45" s="499" t="s">
        <v>416</v>
      </c>
      <c r="L45" s="500">
        <v>200</v>
      </c>
    </row>
    <row r="46" spans="1:12" ht="111.75" customHeight="1" thickBot="1">
      <c r="A46" s="783"/>
      <c r="B46" s="794" t="s">
        <v>582</v>
      </c>
      <c r="C46" s="794"/>
      <c r="D46" s="794"/>
      <c r="E46" s="514">
        <v>5</v>
      </c>
      <c r="F46" s="545"/>
      <c r="G46" s="108">
        <v>0</v>
      </c>
      <c r="I46" s="459"/>
      <c r="J46" s="84"/>
      <c r="K46" s="501" t="s">
        <v>417</v>
      </c>
      <c r="L46" s="502">
        <f>L45/L44</f>
        <v>0.2</v>
      </c>
    </row>
    <row r="47" spans="1:12" ht="53.25" customHeight="1">
      <c r="A47" s="782" t="s">
        <v>445</v>
      </c>
      <c r="B47" s="795" t="s">
        <v>395</v>
      </c>
      <c r="C47" s="795"/>
      <c r="D47" s="795"/>
      <c r="E47" s="546">
        <v>10</v>
      </c>
      <c r="F47" s="544"/>
      <c r="G47" s="108">
        <v>5</v>
      </c>
      <c r="I47" s="459"/>
      <c r="J47" s="84"/>
      <c r="K47" s="116"/>
      <c r="L47" s="116"/>
    </row>
    <row r="48" spans="1:12" ht="53.25" customHeight="1" thickBot="1">
      <c r="A48" s="783"/>
      <c r="B48" s="794" t="s">
        <v>396</v>
      </c>
      <c r="C48" s="794"/>
      <c r="D48" s="794"/>
      <c r="E48" s="547">
        <v>5</v>
      </c>
      <c r="F48" s="583"/>
      <c r="G48" s="108"/>
      <c r="I48" s="459"/>
      <c r="J48" s="84"/>
      <c r="K48" s="116"/>
      <c r="L48" s="116"/>
    </row>
    <row r="49" spans="1:12" ht="16.5" thickBot="1">
      <c r="A49" s="796" t="s">
        <v>19</v>
      </c>
      <c r="B49" s="797"/>
      <c r="C49" s="797"/>
      <c r="D49" s="797"/>
      <c r="E49" s="798"/>
      <c r="F49" s="529">
        <f>IF(SUM(F45:F48)&lt;30, SUM(F45:F48),30)</f>
        <v>0</v>
      </c>
      <c r="G49" s="115"/>
      <c r="H49" s="453"/>
      <c r="I49" s="115"/>
      <c r="J49" s="115"/>
      <c r="K49" s="115"/>
      <c r="L49" s="115"/>
    </row>
    <row r="51" spans="1:12" ht="13.5" thickBot="1"/>
    <row r="52" spans="1:12" ht="16.5" thickBot="1">
      <c r="A52" s="558" t="s">
        <v>496</v>
      </c>
      <c r="B52" s="559"/>
      <c r="C52" s="559"/>
      <c r="D52" s="560"/>
      <c r="E52" s="562" t="s">
        <v>464</v>
      </c>
      <c r="F52" s="561">
        <f>IF(SUM(F49+F41+F13)&lt;175, SUM(F13+F41+F49),175)</f>
        <v>0</v>
      </c>
    </row>
  </sheetData>
  <sheetProtection algorithmName="SHA-512" hashValue="yQ3x28UN+th/Nz4/U9Z/cFGZF/fMir0F/JV192JNthhKq29bh8/fmfKx2uYvM01kQGwVo4aQhFQuP4FNp+4Aog==" saltValue="LWtRdETLtXzS+vL3Rv+JpA==" spinCount="100000" sheet="1" selectLockedCells="1"/>
  <mergeCells count="61">
    <mergeCell ref="I11:I12"/>
    <mergeCell ref="A11:E11"/>
    <mergeCell ref="B12:E12"/>
    <mergeCell ref="B21:D21"/>
    <mergeCell ref="E21:E22"/>
    <mergeCell ref="F21:F22"/>
    <mergeCell ref="B22:D22"/>
    <mergeCell ref="A17:A25"/>
    <mergeCell ref="B25:D25"/>
    <mergeCell ref="B23:D23"/>
    <mergeCell ref="E17:E20"/>
    <mergeCell ref="F17:F20"/>
    <mergeCell ref="B18:D18"/>
    <mergeCell ref="B19:D19"/>
    <mergeCell ref="B20:D20"/>
    <mergeCell ref="E23:E24"/>
    <mergeCell ref="A1:G1"/>
    <mergeCell ref="I5:I6"/>
    <mergeCell ref="B7:C7"/>
    <mergeCell ref="B8:C10"/>
    <mergeCell ref="I7:I10"/>
    <mergeCell ref="B4:E4"/>
    <mergeCell ref="D8:D10"/>
    <mergeCell ref="E8:E10"/>
    <mergeCell ref="A8:A10"/>
    <mergeCell ref="A49:E49"/>
    <mergeCell ref="B6:E6"/>
    <mergeCell ref="A5:E5"/>
    <mergeCell ref="F8:F10"/>
    <mergeCell ref="B16:D16"/>
    <mergeCell ref="A41:C41"/>
    <mergeCell ref="B35:D36"/>
    <mergeCell ref="B37:D37"/>
    <mergeCell ref="B38:D38"/>
    <mergeCell ref="B39:D39"/>
    <mergeCell ref="B40:D40"/>
    <mergeCell ref="A35:A40"/>
    <mergeCell ref="A31:A34"/>
    <mergeCell ref="B31:D31"/>
    <mergeCell ref="B24:D24"/>
    <mergeCell ref="B17:D17"/>
    <mergeCell ref="A45:A46"/>
    <mergeCell ref="A47:A48"/>
    <mergeCell ref="B44:D44"/>
    <mergeCell ref="B45:D45"/>
    <mergeCell ref="B46:D46"/>
    <mergeCell ref="B47:D47"/>
    <mergeCell ref="B48:D48"/>
    <mergeCell ref="E35:F36"/>
    <mergeCell ref="B32:D32"/>
    <mergeCell ref="B33:D33"/>
    <mergeCell ref="B34:D34"/>
    <mergeCell ref="A26:A27"/>
    <mergeCell ref="B26:D27"/>
    <mergeCell ref="B30:D30"/>
    <mergeCell ref="F26:F27"/>
    <mergeCell ref="A28:A29"/>
    <mergeCell ref="B28:D29"/>
    <mergeCell ref="E28:E29"/>
    <mergeCell ref="F28:F29"/>
    <mergeCell ref="E26:E27"/>
  </mergeCells>
  <phoneticPr fontId="44" type="noConversion"/>
  <dataValidations count="17">
    <dataValidation type="list" allowBlank="1" showInputMessage="1" showErrorMessage="1" errorTitle="Falscher Wert!" error="Bitte geben Sie die Zahl 0 oder 10 ein." sqref="F38" xr:uid="{00000000-0002-0000-0200-000000000000}">
      <formula1>$G$37:$G$38</formula1>
    </dataValidation>
    <dataValidation type="list" allowBlank="1" showInputMessage="1" showErrorMessage="1" errorTitle="Falscher Wert!" error="Bitte geben Sie die Zahl 0 oder 10 ein." sqref="F37" xr:uid="{00000000-0002-0000-0200-000001000000}">
      <formula1>$G$35:$G$36</formula1>
    </dataValidation>
    <dataValidation type="list" allowBlank="1" showInputMessage="1" showErrorMessage="1" errorTitle="Falscher Wert!" error="Bitte geben Sie die Zahl 0 oder 5 ein." sqref="F40" xr:uid="{00000000-0002-0000-0200-000002000000}">
      <formula1>$H$37:$H$38</formula1>
    </dataValidation>
    <dataValidation allowBlank="1" showInputMessage="1" showErrorMessage="1" errorTitle="Falscher Wert!" error="Bitte geben Sie die Zahl 0,5 oder 10 ein." sqref="F23" xr:uid="{00000000-0002-0000-0200-000003000000}"/>
    <dataValidation allowBlank="1" showInputMessage="1" showErrorMessage="1" errorTitle="Falscher Wert!" error="Bitte geben Sie die Zahl 0 ein." sqref="F17:F20" xr:uid="{00000000-0002-0000-0200-000004000000}"/>
    <dataValidation type="list" allowBlank="1" showInputMessage="1" showErrorMessage="1" sqref="F6" xr:uid="{00000000-0002-0000-0200-000005000000}">
      <formula1>$G$5:$H$5</formula1>
    </dataValidation>
    <dataValidation type="list" allowBlank="1" showInputMessage="1" showErrorMessage="1" errorTitle="Falscher Wert!" error="Bitte geben Sie die Zahl 0 oder 5 ein." sqref="F25:F27 F31:F32" xr:uid="{00000000-0002-0000-0200-000006000000}">
      <formula1>$G$26:$G$27</formula1>
    </dataValidation>
    <dataValidation type="list" allowBlank="1" showInputMessage="1" showErrorMessage="1" errorTitle="Falscher Wert!" error="Bitte geben Sie die Zahl 0 oder 5 ein." sqref="F28:F29" xr:uid="{00000000-0002-0000-0200-000007000000}">
      <formula1>$G$28:$G$29</formula1>
    </dataValidation>
    <dataValidation type="list" allowBlank="1" showInputMessage="1" showErrorMessage="1" errorTitle="Falscher Wert!" error="Bitte geben Sie die Zahl 0 oder 5 ein." sqref="F33:F34" xr:uid="{00000000-0002-0000-0200-000008000000}">
      <formula1>$G$32:$G$33</formula1>
    </dataValidation>
    <dataValidation type="list" allowBlank="1" showInputMessage="1" showErrorMessage="1" errorTitle="Falscher Wert!" error="Bitte geben Sie die Zahl 0 oder 10 ein." sqref="F24" xr:uid="{00000000-0002-0000-0200-000009000000}">
      <formula1>$G$23:$G$24</formula1>
    </dataValidation>
    <dataValidation type="list" allowBlank="1" showInputMessage="1" showErrorMessage="1" errorTitle="Falscher Wert!" error="Bitte geben Sie die Zahl 0 oder 20 ein." sqref="F21:F22" xr:uid="{00000000-0002-0000-0200-00000A000000}">
      <formula1>$G$21:$G$22</formula1>
    </dataValidation>
    <dataValidation type="list" allowBlank="1" showInputMessage="1" showErrorMessage="1" sqref="F8:F10" xr:uid="{00000000-0002-0000-0200-00000B000000}">
      <formula1>$L$5:$L$17</formula1>
    </dataValidation>
    <dataValidation type="list" allowBlank="1" showInputMessage="1" showErrorMessage="1" errorTitle="Falscher Wert!" error="Bitte geben Sie die Zahl 0 oder 5 ein." sqref="F39" xr:uid="{00000000-0002-0000-0200-00000C000000}">
      <formula1>$H$35:$H$36</formula1>
    </dataValidation>
    <dataValidation type="list" allowBlank="1" showInputMessage="1" showErrorMessage="1" errorTitle="Falscher Wert!" error="Bitte geben Sie die Zahl 0 oder 5 ein." sqref="F48 F46" xr:uid="{00000000-0002-0000-0200-00000D000000}">
      <formula1>$G$46:$G$47</formula1>
    </dataValidation>
    <dataValidation type="list" allowBlank="1" showInputMessage="1" showErrorMessage="1" errorTitle="Falscher Wert!" error="Bitte geben Sie die Zahl 0 oder 5 ein." sqref="F47 F45" xr:uid="{00000000-0002-0000-0200-00000E000000}">
      <formula1>$G$44:$G$45</formula1>
    </dataValidation>
    <dataValidation type="list" allowBlank="1" showInputMessage="1" showErrorMessage="1" errorTitle="Falscher Wert!" error="Bitte geben Sie die Zahl 0,10,25 oder 35 ein." sqref="F12" xr:uid="{00000000-0002-0000-0200-00000F000000}">
      <formula1>$H$9:$H$10</formula1>
    </dataValidation>
    <dataValidation type="list" allowBlank="1" showInputMessage="1" showErrorMessage="1" errorTitle="Falscher Wert!" error="Bitte geben Sie die Zahl 0 oder 5 ein." sqref="F30" xr:uid="{00000000-0002-0000-0200-000010000000}">
      <formula1>$G$30:$G$31</formula1>
    </dataValidation>
  </dataValidations>
  <printOptions horizontalCentered="1"/>
  <pageMargins left="0.59055118110236227" right="0.59055118110236227" top="0.59055118110236227" bottom="0.59055118110236227" header="0.31496062992125984" footer="0.31496062992125984"/>
  <pageSetup paperSize="9" scale="3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8">
    <pageSetUpPr fitToPage="1"/>
  </sheetPr>
  <dimension ref="A1:R47"/>
  <sheetViews>
    <sheetView showGridLines="0" zoomScale="52" zoomScaleNormal="70" workbookViewId="0">
      <selection activeCell="Q4" sqref="Q4:R4"/>
    </sheetView>
  </sheetViews>
  <sheetFormatPr baseColWidth="10" defaultColWidth="11.42578125" defaultRowHeight="12.75"/>
  <cols>
    <col min="1" max="1" width="30.5703125" style="78" customWidth="1"/>
    <col min="2" max="2" width="57.85546875" style="78" customWidth="1"/>
    <col min="3" max="3" width="70.140625" style="78" customWidth="1"/>
    <col min="4" max="4" width="14.7109375" style="78" customWidth="1"/>
    <col min="5" max="5" width="15.7109375" style="83" customWidth="1"/>
    <col min="6" max="6" width="4.140625" style="78" hidden="1" customWidth="1"/>
    <col min="7" max="7" width="7.85546875" style="78" hidden="1" customWidth="1"/>
    <col min="8" max="8" width="6" style="78" hidden="1" customWidth="1"/>
    <col min="9" max="9" width="7.42578125" style="78" hidden="1" customWidth="1"/>
    <col min="10" max="10" width="30.7109375" style="83" customWidth="1"/>
    <col min="11" max="13" width="11.42578125" style="78"/>
    <col min="14" max="14" width="110" style="78" customWidth="1"/>
    <col min="15" max="15" width="14.85546875" style="78" customWidth="1"/>
    <col min="16" max="16" width="16.28515625" style="78" customWidth="1"/>
    <col min="17" max="16384" width="11.42578125" style="78"/>
  </cols>
  <sheetData>
    <row r="1" spans="1:18" ht="24.95" customHeight="1" thickBot="1">
      <c r="A1" s="820" t="s">
        <v>466</v>
      </c>
      <c r="B1" s="820"/>
      <c r="C1" s="820"/>
      <c r="D1" s="820"/>
      <c r="E1" s="820"/>
      <c r="F1" s="820"/>
      <c r="G1" s="820"/>
      <c r="H1" s="820"/>
      <c r="I1" s="820"/>
      <c r="J1" s="820"/>
      <c r="N1" s="114" t="s">
        <v>495</v>
      </c>
    </row>
    <row r="2" spans="1:18" ht="17.25" customHeight="1" thickBot="1">
      <c r="A2" s="79"/>
      <c r="B2" s="79"/>
      <c r="C2" s="79"/>
      <c r="D2" s="79"/>
      <c r="E2" s="80"/>
      <c r="N2" s="675" t="s">
        <v>501</v>
      </c>
      <c r="O2" s="676"/>
      <c r="P2" s="677" t="s">
        <v>585</v>
      </c>
      <c r="Q2" s="866" t="s">
        <v>225</v>
      </c>
      <c r="R2" s="867"/>
    </row>
    <row r="3" spans="1:18" ht="18.75" customHeight="1" thickBot="1">
      <c r="A3" s="79"/>
      <c r="B3" s="79"/>
      <c r="C3" s="79"/>
      <c r="D3" s="79"/>
      <c r="E3" s="80"/>
      <c r="N3" s="678" t="s">
        <v>586</v>
      </c>
      <c r="O3" s="679"/>
      <c r="P3" s="680"/>
      <c r="Q3" s="855"/>
      <c r="R3" s="848"/>
    </row>
    <row r="4" spans="1:18" ht="42.75" customHeight="1" thickBot="1">
      <c r="A4" s="572" t="s">
        <v>18</v>
      </c>
      <c r="B4" s="612" t="s">
        <v>16</v>
      </c>
      <c r="C4" s="612" t="s">
        <v>256</v>
      </c>
      <c r="D4" s="613" t="s">
        <v>369</v>
      </c>
      <c r="E4" s="596" t="s">
        <v>20</v>
      </c>
      <c r="J4" s="434" t="s">
        <v>225</v>
      </c>
      <c r="N4" s="681" t="s">
        <v>502</v>
      </c>
      <c r="O4" s="681" t="s">
        <v>503</v>
      </c>
      <c r="P4" s="682" t="s">
        <v>585</v>
      </c>
      <c r="Q4" s="847"/>
      <c r="R4" s="848"/>
    </row>
    <row r="5" spans="1:18" s="81" customFormat="1" ht="40.5" customHeight="1" thickBot="1">
      <c r="A5" s="623" t="s">
        <v>539</v>
      </c>
      <c r="B5" s="538" t="s">
        <v>551</v>
      </c>
      <c r="C5" s="538" t="s">
        <v>254</v>
      </c>
      <c r="D5" s="84">
        <v>4</v>
      </c>
      <c r="E5" s="674"/>
      <c r="F5" s="81">
        <v>0</v>
      </c>
      <c r="G5" s="81">
        <v>4</v>
      </c>
      <c r="J5" s="459"/>
      <c r="N5" s="868" t="s">
        <v>504</v>
      </c>
      <c r="O5" s="869"/>
      <c r="P5" s="870"/>
      <c r="Q5" s="847"/>
      <c r="R5" s="848"/>
    </row>
    <row r="6" spans="1:18" s="81" customFormat="1" ht="22.7" customHeight="1" thickBot="1">
      <c r="A6" s="887" t="s">
        <v>540</v>
      </c>
      <c r="B6" s="888"/>
      <c r="C6" s="889"/>
      <c r="D6" s="673" t="s">
        <v>481</v>
      </c>
      <c r="E6" s="621"/>
      <c r="J6" s="459"/>
      <c r="N6" s="717" t="s">
        <v>587</v>
      </c>
      <c r="O6" s="683">
        <v>0.5</v>
      </c>
      <c r="P6" s="680"/>
      <c r="Q6" s="847"/>
      <c r="R6" s="848"/>
    </row>
    <row r="7" spans="1:18" s="81" customFormat="1" ht="24.95" customHeight="1">
      <c r="A7" s="876" t="s">
        <v>305</v>
      </c>
      <c r="B7" s="890" t="s">
        <v>552</v>
      </c>
      <c r="C7" s="890"/>
      <c r="D7" s="512">
        <v>4</v>
      </c>
      <c r="E7" s="539"/>
      <c r="F7" s="233">
        <v>0</v>
      </c>
      <c r="G7" s="233">
        <v>4</v>
      </c>
      <c r="H7" s="233"/>
      <c r="I7" s="233"/>
      <c r="J7" s="459"/>
      <c r="N7" s="715" t="s">
        <v>588</v>
      </c>
      <c r="O7" s="684">
        <v>0.3</v>
      </c>
      <c r="P7" s="685"/>
      <c r="Q7" s="847"/>
      <c r="R7" s="848"/>
    </row>
    <row r="8" spans="1:18" s="81" customFormat="1" ht="27.75" customHeight="1" thickBot="1">
      <c r="A8" s="876"/>
      <c r="B8" s="813" t="s">
        <v>609</v>
      </c>
      <c r="C8" s="813"/>
      <c r="D8" s="511">
        <v>4</v>
      </c>
      <c r="E8" s="871"/>
      <c r="F8" s="233">
        <v>0</v>
      </c>
      <c r="G8" s="233">
        <v>2</v>
      </c>
      <c r="H8" s="233">
        <v>4</v>
      </c>
      <c r="I8" s="233"/>
      <c r="J8" s="849"/>
      <c r="N8" s="716" t="s">
        <v>589</v>
      </c>
      <c r="O8" s="686">
        <v>0</v>
      </c>
      <c r="P8" s="687"/>
      <c r="Q8" s="847"/>
      <c r="R8" s="848"/>
    </row>
    <row r="9" spans="1:18" s="81" customFormat="1" ht="23.25" customHeight="1" thickBot="1">
      <c r="A9" s="876"/>
      <c r="B9" s="813" t="s">
        <v>538</v>
      </c>
      <c r="C9" s="813"/>
      <c r="D9" s="328">
        <v>2</v>
      </c>
      <c r="E9" s="872"/>
      <c r="F9" s="233"/>
      <c r="G9" s="233"/>
      <c r="H9" s="233"/>
      <c r="I9" s="233"/>
      <c r="J9" s="851"/>
      <c r="N9" s="863" t="s">
        <v>505</v>
      </c>
      <c r="O9" s="864"/>
      <c r="P9" s="865"/>
      <c r="Q9" s="847"/>
      <c r="R9" s="848"/>
    </row>
    <row r="10" spans="1:18" s="81" customFormat="1" ht="42.6" customHeight="1" thickBot="1">
      <c r="A10" s="876"/>
      <c r="B10" s="813" t="s">
        <v>553</v>
      </c>
      <c r="C10" s="813"/>
      <c r="D10" s="511">
        <v>4</v>
      </c>
      <c r="E10" s="871"/>
      <c r="F10" s="233">
        <v>0</v>
      </c>
      <c r="G10" s="233">
        <v>2</v>
      </c>
      <c r="H10" s="233">
        <v>4</v>
      </c>
      <c r="I10" s="233"/>
      <c r="J10" s="849"/>
      <c r="N10" s="852" t="s">
        <v>506</v>
      </c>
      <c r="O10" s="860"/>
      <c r="P10" s="862"/>
      <c r="Q10" s="847"/>
      <c r="R10" s="848"/>
    </row>
    <row r="11" spans="1:18" s="81" customFormat="1" ht="45" customHeight="1">
      <c r="A11" s="876"/>
      <c r="B11" s="813" t="s">
        <v>554</v>
      </c>
      <c r="C11" s="813"/>
      <c r="D11" s="328">
        <v>2</v>
      </c>
      <c r="E11" s="872"/>
      <c r="F11" s="233"/>
      <c r="G11" s="233"/>
      <c r="H11" s="233"/>
      <c r="I11" s="233"/>
      <c r="J11" s="851"/>
      <c r="N11" s="689" t="s">
        <v>590</v>
      </c>
      <c r="O11" s="683">
        <v>1</v>
      </c>
      <c r="P11" s="680"/>
      <c r="Q11" s="847"/>
      <c r="R11" s="848"/>
    </row>
    <row r="12" spans="1:18" s="81" customFormat="1" ht="24.95" customHeight="1" thickBot="1">
      <c r="A12" s="876"/>
      <c r="B12" s="891" t="s">
        <v>583</v>
      </c>
      <c r="C12" s="892"/>
      <c r="D12" s="882">
        <v>2</v>
      </c>
      <c r="E12" s="873"/>
      <c r="F12" s="233">
        <v>0</v>
      </c>
      <c r="G12" s="233">
        <v>2</v>
      </c>
      <c r="H12" s="233"/>
      <c r="I12" s="233"/>
      <c r="J12" s="826"/>
      <c r="N12" s="690" t="s">
        <v>591</v>
      </c>
      <c r="O12" s="686">
        <v>1.1000000000000001</v>
      </c>
      <c r="P12" s="691"/>
      <c r="Q12" s="847"/>
      <c r="R12" s="848"/>
    </row>
    <row r="13" spans="1:18" s="81" customFormat="1" ht="15.75" thickBot="1">
      <c r="A13" s="876"/>
      <c r="B13" s="893"/>
      <c r="C13" s="894"/>
      <c r="D13" s="768"/>
      <c r="E13" s="872"/>
      <c r="F13" s="233"/>
      <c r="G13" s="233"/>
      <c r="H13" s="233"/>
      <c r="I13" s="233"/>
      <c r="J13" s="826"/>
      <c r="N13" s="852" t="s">
        <v>507</v>
      </c>
      <c r="O13" s="860"/>
      <c r="P13" s="862"/>
      <c r="Q13" s="847"/>
      <c r="R13" s="848"/>
    </row>
    <row r="14" spans="1:18" s="81" customFormat="1" ht="34.5" customHeight="1">
      <c r="A14" s="622"/>
      <c r="B14" s="883" t="s">
        <v>482</v>
      </c>
      <c r="C14" s="884"/>
      <c r="D14" s="327">
        <v>3</v>
      </c>
      <c r="E14" s="234"/>
      <c r="F14" s="233">
        <v>0</v>
      </c>
      <c r="G14" s="233">
        <v>3</v>
      </c>
      <c r="H14" s="233"/>
      <c r="I14" s="233">
        <v>0</v>
      </c>
      <c r="J14" s="459"/>
      <c r="N14" s="689" t="s">
        <v>590</v>
      </c>
      <c r="O14" s="683">
        <v>0.9</v>
      </c>
      <c r="P14" s="680"/>
      <c r="Q14" s="847"/>
      <c r="R14" s="848"/>
    </row>
    <row r="15" spans="1:18" s="81" customFormat="1" ht="34.5" customHeight="1" thickBot="1">
      <c r="A15" s="817" t="s">
        <v>483</v>
      </c>
      <c r="B15" s="883" t="s">
        <v>484</v>
      </c>
      <c r="C15" s="884"/>
      <c r="D15" s="84">
        <v>3</v>
      </c>
      <c r="E15" s="871"/>
      <c r="F15" s="233"/>
      <c r="G15" s="233"/>
      <c r="H15" s="233"/>
      <c r="I15" s="233">
        <v>3</v>
      </c>
      <c r="J15" s="459"/>
      <c r="N15" s="690" t="s">
        <v>591</v>
      </c>
      <c r="O15" s="686">
        <v>1</v>
      </c>
      <c r="P15" s="687"/>
      <c r="Q15" s="847"/>
      <c r="R15" s="848"/>
    </row>
    <row r="16" spans="1:18" s="81" customFormat="1" ht="34.5" customHeight="1" thickBot="1">
      <c r="A16" s="876"/>
      <c r="B16" s="615" t="s">
        <v>485</v>
      </c>
      <c r="C16" s="616"/>
      <c r="D16" s="512">
        <v>3</v>
      </c>
      <c r="E16" s="873"/>
      <c r="F16" s="233"/>
      <c r="G16" s="233"/>
      <c r="H16" s="233"/>
      <c r="I16" s="233">
        <v>6</v>
      </c>
      <c r="J16" s="459"/>
      <c r="N16" s="852" t="s">
        <v>508</v>
      </c>
      <c r="O16" s="860"/>
      <c r="P16" s="862"/>
      <c r="Q16" s="847"/>
      <c r="R16" s="848"/>
    </row>
    <row r="17" spans="1:18" s="81" customFormat="1" ht="34.5" customHeight="1">
      <c r="A17" s="895"/>
      <c r="B17" s="883" t="s">
        <v>486</v>
      </c>
      <c r="C17" s="884"/>
      <c r="D17" s="328">
        <v>3</v>
      </c>
      <c r="E17" s="872"/>
      <c r="F17" s="233"/>
      <c r="G17" s="233"/>
      <c r="H17" s="233"/>
      <c r="I17" s="233">
        <v>9</v>
      </c>
      <c r="J17" s="459"/>
      <c r="N17" s="689" t="s">
        <v>590</v>
      </c>
      <c r="O17" s="683">
        <v>0.7</v>
      </c>
      <c r="P17" s="680"/>
      <c r="Q17" s="847"/>
      <c r="R17" s="848"/>
    </row>
    <row r="18" spans="1:18" s="81" customFormat="1" ht="39" customHeight="1" thickBot="1">
      <c r="A18" s="817" t="s">
        <v>324</v>
      </c>
      <c r="B18" s="879" t="s">
        <v>325</v>
      </c>
      <c r="C18" s="663" t="s">
        <v>555</v>
      </c>
      <c r="D18" s="84">
        <v>3</v>
      </c>
      <c r="E18" s="234"/>
      <c r="F18" s="81">
        <v>0</v>
      </c>
      <c r="G18" s="81">
        <v>3</v>
      </c>
      <c r="I18" s="233"/>
      <c r="J18" s="459"/>
      <c r="N18" s="690" t="s">
        <v>591</v>
      </c>
      <c r="O18" s="686">
        <v>0.8</v>
      </c>
      <c r="P18" s="687"/>
      <c r="Q18" s="847"/>
      <c r="R18" s="848"/>
    </row>
    <row r="19" spans="1:18" s="81" customFormat="1" ht="24.95" customHeight="1" thickBot="1">
      <c r="A19" s="877"/>
      <c r="B19" s="880"/>
      <c r="C19" s="262" t="s">
        <v>487</v>
      </c>
      <c r="D19" s="617">
        <v>2</v>
      </c>
      <c r="E19" s="234"/>
      <c r="F19" s="81">
        <v>0</v>
      </c>
      <c r="G19" s="81">
        <v>2</v>
      </c>
      <c r="I19" s="81">
        <v>0</v>
      </c>
      <c r="J19" s="459"/>
      <c r="N19" s="852" t="s">
        <v>509</v>
      </c>
      <c r="O19" s="860"/>
      <c r="P19" s="862"/>
      <c r="Q19" s="847"/>
      <c r="R19" s="848"/>
    </row>
    <row r="20" spans="1:18" s="81" customFormat="1" ht="24.95" customHeight="1" thickBot="1">
      <c r="A20" s="878"/>
      <c r="B20" s="881"/>
      <c r="C20" s="618" t="s">
        <v>326</v>
      </c>
      <c r="D20" s="619">
        <v>1</v>
      </c>
      <c r="E20" s="234"/>
      <c r="F20" s="81">
        <v>0</v>
      </c>
      <c r="G20" s="81">
        <v>1</v>
      </c>
      <c r="I20" s="81">
        <v>4</v>
      </c>
      <c r="J20" s="459"/>
      <c r="N20" s="692" t="s">
        <v>510</v>
      </c>
      <c r="O20" s="683">
        <v>1</v>
      </c>
      <c r="P20" s="680"/>
      <c r="Q20" s="847"/>
      <c r="R20" s="848"/>
    </row>
    <row r="21" spans="1:18" s="81" customFormat="1" ht="24.95" customHeight="1" thickBot="1">
      <c r="A21" s="887" t="s">
        <v>541</v>
      </c>
      <c r="B21" s="889"/>
      <c r="C21" s="632" t="s">
        <v>490</v>
      </c>
      <c r="D21" s="673" t="s">
        <v>481</v>
      </c>
      <c r="E21" s="614"/>
      <c r="I21" s="81">
        <v>8</v>
      </c>
      <c r="J21" s="459"/>
      <c r="N21" s="693" t="s">
        <v>511</v>
      </c>
      <c r="O21" s="694">
        <v>1.1000000000000001</v>
      </c>
      <c r="P21" s="687"/>
      <c r="Q21" s="847"/>
      <c r="R21" s="848"/>
    </row>
    <row r="22" spans="1:18" s="81" customFormat="1" ht="24.75" customHeight="1" thickBot="1">
      <c r="A22" s="876" t="s">
        <v>488</v>
      </c>
      <c r="B22" s="896" t="s">
        <v>489</v>
      </c>
      <c r="C22" s="624" t="s">
        <v>527</v>
      </c>
      <c r="D22" s="512">
        <v>4</v>
      </c>
      <c r="E22" s="874">
        <f>IF(P39&lt;0.4,0,IF(AND(P39&gt;=0.4,P39&lt;0.5),4,IF(AND(P39&gt;=0.5,P39&lt;0.6),8,IF(AND(P39&gt;=0.6,P39&lt;0.7),12,IF(AND(P39&gt;=0.7,P39&lt;0.8),16,20)))))</f>
        <v>0</v>
      </c>
      <c r="I22" s="81">
        <v>12</v>
      </c>
      <c r="J22" s="849"/>
      <c r="N22" s="693" t="s">
        <v>592</v>
      </c>
      <c r="O22" s="695">
        <v>1.2</v>
      </c>
      <c r="P22" s="691"/>
      <c r="Q22" s="859"/>
      <c r="R22" s="847"/>
    </row>
    <row r="23" spans="1:18" s="81" customFormat="1" ht="24.75" customHeight="1" thickBot="1">
      <c r="A23" s="876"/>
      <c r="B23" s="897"/>
      <c r="C23" s="624" t="s">
        <v>491</v>
      </c>
      <c r="D23" s="512">
        <v>8</v>
      </c>
      <c r="E23" s="874"/>
      <c r="F23" s="233"/>
      <c r="G23" s="233"/>
      <c r="H23" s="233"/>
      <c r="I23" s="81">
        <v>16</v>
      </c>
      <c r="J23" s="850"/>
      <c r="N23" s="852" t="s">
        <v>512</v>
      </c>
      <c r="O23" s="860"/>
      <c r="P23" s="861"/>
      <c r="Q23" s="847"/>
      <c r="R23" s="848"/>
    </row>
    <row r="24" spans="1:18" s="81" customFormat="1" ht="24.75" customHeight="1">
      <c r="A24" s="876"/>
      <c r="B24" s="897"/>
      <c r="C24" s="624" t="s">
        <v>492</v>
      </c>
      <c r="D24" s="512">
        <v>12</v>
      </c>
      <c r="E24" s="874"/>
      <c r="F24" s="233"/>
      <c r="G24" s="233"/>
      <c r="H24" s="233"/>
      <c r="I24" s="233">
        <v>20</v>
      </c>
      <c r="J24" s="850"/>
      <c r="N24" s="689" t="s">
        <v>513</v>
      </c>
      <c r="O24" s="683">
        <v>0.7</v>
      </c>
      <c r="P24" s="680"/>
      <c r="Q24" s="847"/>
      <c r="R24" s="848"/>
    </row>
    <row r="25" spans="1:18" s="81" customFormat="1" ht="24.75" customHeight="1">
      <c r="A25" s="876"/>
      <c r="B25" s="897"/>
      <c r="C25" s="624" t="s">
        <v>493</v>
      </c>
      <c r="D25" s="512">
        <v>16</v>
      </c>
      <c r="E25" s="874"/>
      <c r="F25" s="233"/>
      <c r="G25" s="233"/>
      <c r="H25" s="233"/>
      <c r="I25" s="233"/>
      <c r="J25" s="850"/>
      <c r="N25" s="696" t="s">
        <v>514</v>
      </c>
      <c r="O25" s="684">
        <v>0.6</v>
      </c>
      <c r="P25" s="685"/>
      <c r="Q25" s="847"/>
      <c r="R25" s="848"/>
    </row>
    <row r="26" spans="1:18" s="81" customFormat="1" ht="24.75" customHeight="1" thickBot="1">
      <c r="A26" s="895"/>
      <c r="B26" s="898"/>
      <c r="C26" s="625" t="s">
        <v>494</v>
      </c>
      <c r="D26" s="328">
        <v>20</v>
      </c>
      <c r="E26" s="875"/>
      <c r="F26" s="233"/>
      <c r="G26" s="233"/>
      <c r="H26" s="233"/>
      <c r="I26" s="233"/>
      <c r="J26" s="851"/>
      <c r="N26" s="697" t="s">
        <v>515</v>
      </c>
      <c r="O26" s="686">
        <v>0.8</v>
      </c>
      <c r="P26" s="687"/>
      <c r="Q26" s="847"/>
      <c r="R26" s="848"/>
    </row>
    <row r="27" spans="1:18" s="81" customFormat="1" ht="35.25" customHeight="1" thickBot="1">
      <c r="A27" s="563" t="s">
        <v>366</v>
      </c>
      <c r="B27" s="883" t="s">
        <v>584</v>
      </c>
      <c r="C27" s="884"/>
      <c r="D27" s="327">
        <v>5</v>
      </c>
      <c r="E27" s="234"/>
      <c r="F27" s="233">
        <v>0</v>
      </c>
      <c r="G27" s="233">
        <v>5</v>
      </c>
      <c r="H27" s="233"/>
      <c r="I27" s="233"/>
      <c r="J27" s="459"/>
      <c r="N27" s="856" t="s">
        <v>516</v>
      </c>
      <c r="O27" s="857"/>
      <c r="P27" s="858"/>
      <c r="Q27" s="847"/>
      <c r="R27" s="848"/>
    </row>
    <row r="28" spans="1:18" s="81" customFormat="1" ht="33.75" customHeight="1" thickBot="1">
      <c r="A28" s="627" t="s">
        <v>367</v>
      </c>
      <c r="B28" s="885" t="s">
        <v>368</v>
      </c>
      <c r="C28" s="886"/>
      <c r="D28" s="514">
        <v>5</v>
      </c>
      <c r="E28" s="620"/>
      <c r="F28" s="233">
        <v>0</v>
      </c>
      <c r="G28" s="233">
        <v>5</v>
      </c>
      <c r="H28" s="233"/>
      <c r="I28" s="233"/>
      <c r="J28" s="459"/>
      <c r="K28" s="882"/>
      <c r="L28" s="900"/>
      <c r="M28" s="900"/>
      <c r="N28" s="718" t="s">
        <v>517</v>
      </c>
      <c r="O28" s="698">
        <v>0.5</v>
      </c>
      <c r="P28" s="699"/>
      <c r="Q28" s="847"/>
      <c r="R28" s="848"/>
    </row>
    <row r="29" spans="1:18" s="81" customFormat="1" ht="24.95" customHeight="1" thickBot="1">
      <c r="A29" s="811" t="s">
        <v>19</v>
      </c>
      <c r="B29" s="812"/>
      <c r="C29" s="812"/>
      <c r="D29" s="85"/>
      <c r="E29" s="626">
        <f>IF(SUM(E5:E28)&lt;60,SUM(E5:E28),60)</f>
        <v>0</v>
      </c>
      <c r="F29" s="82"/>
      <c r="G29" s="82"/>
      <c r="H29" s="82"/>
      <c r="I29" s="82"/>
      <c r="J29" s="435"/>
      <c r="N29" s="719" t="s">
        <v>593</v>
      </c>
      <c r="O29" s="683">
        <v>0.7</v>
      </c>
      <c r="P29" s="700"/>
      <c r="Q29" s="847"/>
      <c r="R29" s="848"/>
    </row>
    <row r="30" spans="1:18" s="82" customFormat="1" ht="30.2" customHeight="1" thickBot="1">
      <c r="A30" s="86"/>
      <c r="B30" s="86"/>
      <c r="C30" s="86"/>
      <c r="D30" s="86"/>
      <c r="E30" s="601"/>
      <c r="F30" s="78"/>
      <c r="G30" s="78"/>
      <c r="H30" s="78"/>
      <c r="I30" s="78"/>
      <c r="J30" s="83"/>
      <c r="N30" s="720" t="s">
        <v>594</v>
      </c>
      <c r="O30" s="686">
        <v>0.9</v>
      </c>
      <c r="P30" s="687"/>
      <c r="Q30" s="847"/>
      <c r="R30" s="848"/>
    </row>
    <row r="31" spans="1:18" ht="15.75" thickBot="1">
      <c r="N31" s="852" t="s">
        <v>518</v>
      </c>
      <c r="O31" s="853"/>
      <c r="P31" s="854"/>
      <c r="Q31" s="855"/>
      <c r="R31" s="848"/>
    </row>
    <row r="32" spans="1:18" ht="14.25">
      <c r="N32" s="689" t="s">
        <v>519</v>
      </c>
      <c r="O32" s="684">
        <v>1.1000000000000001</v>
      </c>
      <c r="P32" s="680"/>
      <c r="Q32" s="847"/>
      <c r="R32" s="848"/>
    </row>
    <row r="33" spans="14:18" ht="15" thickBot="1">
      <c r="N33" s="696" t="s">
        <v>520</v>
      </c>
      <c r="O33" s="684">
        <v>1.1000000000000001</v>
      </c>
      <c r="P33" s="685"/>
      <c r="Q33" s="855"/>
      <c r="R33" s="848"/>
    </row>
    <row r="34" spans="14:18" ht="15.75" thickBot="1">
      <c r="N34" s="688" t="s">
        <v>521</v>
      </c>
      <c r="O34" s="701" t="s">
        <v>522</v>
      </c>
      <c r="P34" s="702"/>
      <c r="Q34" s="847"/>
      <c r="R34" s="848"/>
    </row>
    <row r="35" spans="14:18" ht="15.75" thickBot="1">
      <c r="N35" s="689" t="s">
        <v>595</v>
      </c>
      <c r="O35" s="703"/>
      <c r="P35" s="704">
        <f>O35*75</f>
        <v>0</v>
      </c>
      <c r="Q35" s="848"/>
      <c r="R35" s="848"/>
    </row>
    <row r="36" spans="14:18" ht="15.75" thickBot="1">
      <c r="N36" s="696" t="s">
        <v>596</v>
      </c>
      <c r="O36" s="703"/>
      <c r="P36" s="704">
        <f>O36*20</f>
        <v>0</v>
      </c>
      <c r="Q36" s="848"/>
      <c r="R36" s="848"/>
    </row>
    <row r="37" spans="14:18" ht="15.75" thickBot="1">
      <c r="N37" s="705" t="s">
        <v>597</v>
      </c>
      <c r="O37" s="703"/>
      <c r="P37" s="704">
        <f>O37*5</f>
        <v>0</v>
      </c>
      <c r="Q37" s="848"/>
      <c r="R37" s="848"/>
    </row>
    <row r="38" spans="14:18" ht="18.75" thickBot="1">
      <c r="N38" s="706" t="s">
        <v>523</v>
      </c>
      <c r="O38" s="707" t="s">
        <v>524</v>
      </c>
      <c r="P38" s="708">
        <f>P6*O6+P7*O7+P8*O8+P11*O11+P12*O12+P14*O14+P15*O15+P17*O17+P18*O18+P20*O20+P21*O21+P24*O24+P25*O25+P26*O26+P28*O28+P29*O29+P30*O30+P32*O32+P33*O33+P35+P36+P37</f>
        <v>0</v>
      </c>
      <c r="Q38" s="848"/>
      <c r="R38" s="848"/>
    </row>
    <row r="39" spans="14:18" ht="18.75" thickBot="1">
      <c r="N39" s="706" t="s">
        <v>525</v>
      </c>
      <c r="O39" s="707" t="s">
        <v>526</v>
      </c>
      <c r="P39" s="714">
        <f>IFERROR(P38/P3,0)</f>
        <v>0</v>
      </c>
      <c r="Q39" s="847"/>
      <c r="R39" s="848"/>
    </row>
    <row r="43" spans="14:18">
      <c r="N43" s="709"/>
      <c r="O43" s="710"/>
      <c r="P43" s="710"/>
      <c r="Q43"/>
    </row>
    <row r="44" spans="14:18" ht="15">
      <c r="N44" s="711"/>
      <c r="O44" s="712"/>
      <c r="P44" s="713"/>
      <c r="Q44"/>
    </row>
    <row r="45" spans="14:18" ht="15">
      <c r="N45" s="711"/>
      <c r="O45" s="712"/>
      <c r="P45" s="713"/>
      <c r="Q45"/>
    </row>
    <row r="46" spans="14:18">
      <c r="N46"/>
      <c r="O46"/>
      <c r="P46"/>
      <c r="Q46"/>
    </row>
    <row r="47" spans="14:18">
      <c r="N47" s="899"/>
      <c r="O47" s="899"/>
      <c r="P47" s="899"/>
      <c r="Q47"/>
    </row>
  </sheetData>
  <sheetProtection algorithmName="SHA-512" hashValue="xtgdvTONoRewSw6fFxDa48jGZ3AgVffgPBPT7lHAX11/XFKSzKwXaXm8sx2xWsXS7YIQAh03UBvJlVTXezjNnw==" saltValue="oDiKPhQaoIqT1FYEigPTDA==" spinCount="100000" sheet="1" selectLockedCells="1"/>
  <protectedRanges>
    <protectedRange sqref="Q3:R39" name="Bereich26"/>
    <protectedRange sqref="O35:O37" name="Bereich25"/>
    <protectedRange sqref="P32:P33" name="Bereich24"/>
    <protectedRange sqref="P28:P30" name="Bereich23"/>
    <protectedRange sqref="P24:P26" name="Bereich22"/>
    <protectedRange sqref="P20:P22" name="Bereich21"/>
    <protectedRange sqref="P17:P18" name="Bereich20"/>
    <protectedRange sqref="P14:P15" name="Bereich19"/>
    <protectedRange sqref="P11:P12" name="Bereich18"/>
    <protectedRange sqref="P6:P8" name="Bereich17"/>
    <protectedRange sqref="P3" name="Bereich16"/>
  </protectedRanges>
  <mergeCells count="80">
    <mergeCell ref="B17:C17"/>
    <mergeCell ref="A15:A17"/>
    <mergeCell ref="B22:B26"/>
    <mergeCell ref="A22:A26"/>
    <mergeCell ref="N47:P47"/>
    <mergeCell ref="K28:M28"/>
    <mergeCell ref="B10:C10"/>
    <mergeCell ref="B12:C13"/>
    <mergeCell ref="B14:C14"/>
    <mergeCell ref="B11:C11"/>
    <mergeCell ref="B15:C15"/>
    <mergeCell ref="A1:J1"/>
    <mergeCell ref="A29:C29"/>
    <mergeCell ref="J12:J13"/>
    <mergeCell ref="A7:A13"/>
    <mergeCell ref="J10:J11"/>
    <mergeCell ref="E12:E13"/>
    <mergeCell ref="A18:A20"/>
    <mergeCell ref="B18:B20"/>
    <mergeCell ref="D12:D13"/>
    <mergeCell ref="B27:C27"/>
    <mergeCell ref="B28:C28"/>
    <mergeCell ref="A6:C6"/>
    <mergeCell ref="A21:B21"/>
    <mergeCell ref="B7:C7"/>
    <mergeCell ref="B8:C8"/>
    <mergeCell ref="B9:C9"/>
    <mergeCell ref="E10:E11"/>
    <mergeCell ref="J8:J9"/>
    <mergeCell ref="E8:E9"/>
    <mergeCell ref="E15:E17"/>
    <mergeCell ref="E22:E26"/>
    <mergeCell ref="Q2:R2"/>
    <mergeCell ref="Q3:R3"/>
    <mergeCell ref="Q4:R4"/>
    <mergeCell ref="N5:P5"/>
    <mergeCell ref="Q5:R5"/>
    <mergeCell ref="Q6:R6"/>
    <mergeCell ref="Q7:R7"/>
    <mergeCell ref="Q8:R8"/>
    <mergeCell ref="N9:P9"/>
    <mergeCell ref="Q9:R9"/>
    <mergeCell ref="Q10:R10"/>
    <mergeCell ref="Q11:R11"/>
    <mergeCell ref="Q12:R12"/>
    <mergeCell ref="N13:P13"/>
    <mergeCell ref="Q13:R13"/>
    <mergeCell ref="N10:P10"/>
    <mergeCell ref="Q14:R14"/>
    <mergeCell ref="Q15:R15"/>
    <mergeCell ref="N16:P16"/>
    <mergeCell ref="Q16:R16"/>
    <mergeCell ref="Q17:R17"/>
    <mergeCell ref="Q18:R18"/>
    <mergeCell ref="N19:P19"/>
    <mergeCell ref="Q19:R19"/>
    <mergeCell ref="Q20:R20"/>
    <mergeCell ref="Q21:R21"/>
    <mergeCell ref="Q29:R29"/>
    <mergeCell ref="Q22:R22"/>
    <mergeCell ref="N23:P23"/>
    <mergeCell ref="Q23:R23"/>
    <mergeCell ref="Q24:R24"/>
    <mergeCell ref="Q25:R25"/>
    <mergeCell ref="Q39:R39"/>
    <mergeCell ref="J22:J26"/>
    <mergeCell ref="Q34:R34"/>
    <mergeCell ref="Q35:R35"/>
    <mergeCell ref="Q36:R36"/>
    <mergeCell ref="Q37:R37"/>
    <mergeCell ref="Q38:R38"/>
    <mergeCell ref="Q30:R30"/>
    <mergeCell ref="N31:P31"/>
    <mergeCell ref="Q31:R31"/>
    <mergeCell ref="Q32:R32"/>
    <mergeCell ref="Q33:R33"/>
    <mergeCell ref="Q26:R26"/>
    <mergeCell ref="N27:P27"/>
    <mergeCell ref="Q27:R27"/>
    <mergeCell ref="Q28:R28"/>
  </mergeCells>
  <dataValidations count="12">
    <dataValidation type="list" allowBlank="1" showInputMessage="1" showErrorMessage="1" sqref="E5" xr:uid="{00000000-0002-0000-0300-000000000000}">
      <formula1>$F$5:$G$5</formula1>
    </dataValidation>
    <dataValidation type="list" allowBlank="1" showInputMessage="1" showErrorMessage="1" sqref="E7" xr:uid="{00000000-0002-0000-0300-000001000000}">
      <formula1>$F$7:$G$7</formula1>
    </dataValidation>
    <dataValidation type="list" allowBlank="1" showInputMessage="1" showErrorMessage="1" sqref="E28" xr:uid="{00000000-0002-0000-0300-000002000000}">
      <formula1>$F$28:$G$28</formula1>
    </dataValidation>
    <dataValidation type="list" allowBlank="1" showInputMessage="1" showErrorMessage="1" sqref="E18" xr:uid="{00000000-0002-0000-0300-000003000000}">
      <formula1>$F$18:$G$18</formula1>
    </dataValidation>
    <dataValidation type="list" allowBlank="1" showInputMessage="1" showErrorMessage="1" sqref="E19" xr:uid="{00000000-0002-0000-0300-000004000000}">
      <formula1>$F$19:$G$19</formula1>
    </dataValidation>
    <dataValidation type="list" allowBlank="1" showInputMessage="1" showErrorMessage="1" sqref="E20" xr:uid="{00000000-0002-0000-0300-000005000000}">
      <formula1>$F$20:$G$20</formula1>
    </dataValidation>
    <dataValidation type="list" allowBlank="1" showInputMessage="1" showErrorMessage="1" sqref="E12:E13" xr:uid="{00000000-0002-0000-0300-000006000000}">
      <formula1>$F$12:$G$12</formula1>
    </dataValidation>
    <dataValidation type="list" allowBlank="1" showInputMessage="1" showErrorMessage="1" sqref="E8:E9" xr:uid="{00000000-0002-0000-0300-000007000000}">
      <formula1>$F$8:$H$8</formula1>
    </dataValidation>
    <dataValidation type="list" allowBlank="1" showInputMessage="1" showErrorMessage="1" sqref="E10:E11" xr:uid="{00000000-0002-0000-0300-000008000000}">
      <formula1>$F$10:$H$10</formula1>
    </dataValidation>
    <dataValidation type="list" allowBlank="1" showInputMessage="1" showErrorMessage="1" sqref="E27" xr:uid="{00000000-0002-0000-0300-000009000000}">
      <formula1>$F$27:$G$27</formula1>
    </dataValidation>
    <dataValidation type="list" allowBlank="1" showInputMessage="1" showErrorMessage="1" sqref="E14" xr:uid="{00000000-0002-0000-0300-00000A000000}">
      <formula1>$F$14:$G$14</formula1>
    </dataValidation>
    <dataValidation type="list" allowBlank="1" showInputMessage="1" showErrorMessage="1" sqref="E15:E17" xr:uid="{00000000-0002-0000-0300-00000B000000}">
      <formula1>$I$14:$I$17</formula1>
    </dataValidation>
  </dataValidations>
  <printOptions horizontalCentered="1"/>
  <pageMargins left="0.59055118110236227" right="0.59055118110236227" top="0.59055118110236227" bottom="0.59055118110236227" header="0.31496062992125984" footer="0.31496062992125984"/>
  <pageSetup paperSize="9" scale="4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AC40"/>
  <sheetViews>
    <sheetView showGridLines="0" zoomScale="76" zoomScaleNormal="85" workbookViewId="0">
      <selection activeCell="B16" sqref="B16"/>
    </sheetView>
  </sheetViews>
  <sheetFormatPr baseColWidth="10" defaultColWidth="11.42578125" defaultRowHeight="15"/>
  <cols>
    <col min="1" max="1" width="97.7109375" style="358" bestFit="1" customWidth="1"/>
    <col min="2" max="2" width="15.85546875" style="358" customWidth="1"/>
    <col min="3" max="3" width="16" style="358" customWidth="1"/>
    <col min="4" max="4" width="27.7109375" style="358" customWidth="1"/>
    <col min="5" max="5" width="6.7109375" style="358" customWidth="1"/>
    <col min="6" max="6" width="11.42578125" style="358"/>
    <col min="7" max="7" width="25.7109375" style="358" customWidth="1"/>
    <col min="8" max="8" width="43.7109375" style="358" customWidth="1"/>
    <col min="9" max="10" width="11.5703125" style="358" hidden="1" customWidth="1"/>
    <col min="11" max="11" width="35.7109375" style="391" customWidth="1"/>
    <col min="12" max="12" width="5.5703125" style="358" hidden="1" customWidth="1"/>
    <col min="13" max="13" width="6.140625" style="358" hidden="1" customWidth="1"/>
    <col min="14" max="14" width="3.28515625" style="358" hidden="1" customWidth="1"/>
    <col min="15" max="15" width="5.140625" style="358" hidden="1" customWidth="1"/>
    <col min="16" max="16" width="3.5703125" style="358" hidden="1" customWidth="1"/>
    <col min="17" max="17" width="5.42578125" style="358" hidden="1" customWidth="1"/>
    <col min="18" max="18" width="5.140625" style="358" hidden="1" customWidth="1"/>
    <col min="19" max="19" width="6.5703125" style="358" hidden="1" customWidth="1"/>
    <col min="20" max="20" width="8" style="358" hidden="1" customWidth="1"/>
    <col min="21" max="21" width="4.7109375" style="358" hidden="1" customWidth="1"/>
    <col min="22" max="22" width="7.28515625" style="358" hidden="1" customWidth="1"/>
    <col min="23" max="23" width="12.140625" style="358" hidden="1" customWidth="1"/>
    <col min="24" max="24" width="2.7109375" style="358" customWidth="1"/>
    <col min="25" max="26" width="22.7109375" style="358" customWidth="1"/>
    <col min="27" max="28" width="16.7109375" style="358" customWidth="1"/>
    <col min="29" max="29" width="2.7109375" style="358" customWidth="1"/>
    <col min="30" max="16384" width="11.42578125" style="358"/>
  </cols>
  <sheetData>
    <row r="1" spans="1:29" ht="23.25" customHeight="1">
      <c r="A1" s="356" t="s">
        <v>467</v>
      </c>
      <c r="B1" s="355"/>
      <c r="C1" s="355"/>
      <c r="D1" s="355"/>
      <c r="E1" s="355"/>
      <c r="F1" s="355"/>
      <c r="G1" s="355"/>
      <c r="H1" s="355"/>
      <c r="I1" s="355"/>
      <c r="J1" s="355"/>
      <c r="L1" s="355"/>
      <c r="M1" s="355"/>
      <c r="N1" s="355"/>
      <c r="O1" s="355"/>
      <c r="P1" s="355"/>
      <c r="Q1" s="355"/>
      <c r="R1" s="355"/>
      <c r="S1" s="355"/>
      <c r="T1" s="355"/>
      <c r="U1" s="355"/>
      <c r="V1" s="355"/>
      <c r="W1" s="355"/>
      <c r="X1" s="355"/>
      <c r="Y1" s="355"/>
      <c r="Z1" s="355"/>
      <c r="AA1" s="355"/>
      <c r="AB1" s="355"/>
      <c r="AC1" s="355"/>
    </row>
    <row r="2" spans="1:29" ht="8.4499999999999993" customHeight="1" thickBot="1">
      <c r="A2" s="359"/>
      <c r="B2" s="359"/>
      <c r="C2" s="359"/>
      <c r="D2" s="359"/>
      <c r="E2" s="359"/>
      <c r="F2" s="359"/>
      <c r="G2" s="359"/>
      <c r="H2" s="359"/>
      <c r="I2" s="357"/>
      <c r="J2" s="357"/>
      <c r="L2" s="355"/>
      <c r="M2" s="355"/>
      <c r="N2" s="355"/>
      <c r="O2" s="355"/>
      <c r="P2" s="355"/>
      <c r="Q2" s="355"/>
      <c r="R2" s="355"/>
      <c r="S2" s="355"/>
      <c r="T2" s="355"/>
      <c r="U2" s="355"/>
      <c r="V2" s="355"/>
      <c r="W2" s="355"/>
      <c r="X2" s="359"/>
      <c r="Y2" s="359"/>
      <c r="Z2" s="359"/>
      <c r="AA2" s="359"/>
      <c r="AB2" s="359"/>
      <c r="AC2" s="359"/>
    </row>
    <row r="3" spans="1:29" ht="24.95" customHeight="1">
      <c r="A3" s="210" t="s">
        <v>60</v>
      </c>
      <c r="B3" s="360"/>
      <c r="C3" s="360"/>
      <c r="D3" s="360"/>
      <c r="E3" s="361"/>
      <c r="F3" s="361"/>
      <c r="G3" s="360"/>
      <c r="H3" s="362"/>
      <c r="I3" s="357"/>
      <c r="J3" s="357"/>
      <c r="K3" s="436" t="s">
        <v>225</v>
      </c>
      <c r="L3" s="922" t="s">
        <v>74</v>
      </c>
      <c r="M3" s="922" t="s">
        <v>73</v>
      </c>
      <c r="N3" s="922" t="s">
        <v>72</v>
      </c>
      <c r="O3" s="922" t="s">
        <v>71</v>
      </c>
      <c r="P3" s="922" t="s">
        <v>70</v>
      </c>
      <c r="Q3" s="922" t="s">
        <v>207</v>
      </c>
      <c r="R3" s="922" t="s">
        <v>208</v>
      </c>
      <c r="S3" s="922" t="s">
        <v>209</v>
      </c>
      <c r="T3" s="922" t="s">
        <v>210</v>
      </c>
      <c r="U3" s="922" t="s">
        <v>211</v>
      </c>
      <c r="V3" s="922" t="s">
        <v>212</v>
      </c>
      <c r="W3" s="355"/>
      <c r="X3" s="363"/>
      <c r="Y3" s="347" t="s">
        <v>241</v>
      </c>
      <c r="Z3" s="364"/>
      <c r="AA3" s="364"/>
      <c r="AB3" s="364"/>
      <c r="AC3" s="365"/>
    </row>
    <row r="4" spans="1:29" ht="24.95" customHeight="1">
      <c r="A4" s="366" t="s">
        <v>59</v>
      </c>
      <c r="B4" s="908"/>
      <c r="C4" s="909"/>
      <c r="D4" s="910"/>
      <c r="E4" s="367"/>
      <c r="F4" s="368" t="s">
        <v>58</v>
      </c>
      <c r="G4" s="355"/>
      <c r="H4" s="369"/>
      <c r="I4" s="357"/>
      <c r="J4" s="357"/>
      <c r="K4" s="437"/>
      <c r="L4" s="923"/>
      <c r="M4" s="923"/>
      <c r="N4" s="922"/>
      <c r="O4" s="922"/>
      <c r="P4" s="922"/>
      <c r="Q4" s="922"/>
      <c r="R4" s="922"/>
      <c r="S4" s="922"/>
      <c r="T4" s="923"/>
      <c r="U4" s="923"/>
      <c r="V4" s="923"/>
      <c r="W4" s="355"/>
      <c r="X4" s="370"/>
      <c r="Y4" s="355"/>
      <c r="Z4" s="355"/>
      <c r="AA4" s="355"/>
      <c r="AB4" s="355"/>
      <c r="AC4" s="371"/>
    </row>
    <row r="5" spans="1:29" ht="24.95" customHeight="1">
      <c r="A5" s="366" t="s">
        <v>213</v>
      </c>
      <c r="B5" s="908" t="s">
        <v>65</v>
      </c>
      <c r="C5" s="909"/>
      <c r="D5" s="910"/>
      <c r="E5" s="355"/>
      <c r="F5" s="372" t="s">
        <v>214</v>
      </c>
      <c r="G5" s="355"/>
      <c r="H5" s="371"/>
      <c r="I5" s="357"/>
      <c r="J5" s="357"/>
      <c r="K5" s="437"/>
      <c r="L5" s="923"/>
      <c r="M5" s="923"/>
      <c r="N5" s="922"/>
      <c r="O5" s="922"/>
      <c r="P5" s="922"/>
      <c r="Q5" s="922"/>
      <c r="R5" s="922"/>
      <c r="S5" s="922"/>
      <c r="T5" s="923"/>
      <c r="U5" s="923"/>
      <c r="V5" s="923"/>
      <c r="W5" s="355"/>
      <c r="X5" s="370"/>
      <c r="Y5" s="355" t="s">
        <v>242</v>
      </c>
      <c r="Z5" s="355"/>
      <c r="AA5" s="249"/>
      <c r="AB5" s="355"/>
      <c r="AC5" s="371"/>
    </row>
    <row r="6" spans="1:29" ht="24.95" customHeight="1">
      <c r="A6" s="366" t="s">
        <v>56</v>
      </c>
      <c r="B6" s="908" t="s">
        <v>174</v>
      </c>
      <c r="C6" s="909"/>
      <c r="D6" s="910"/>
      <c r="E6" s="355"/>
      <c r="F6" s="372" t="s">
        <v>432</v>
      </c>
      <c r="G6" s="355"/>
      <c r="H6" s="371"/>
      <c r="I6" s="357"/>
      <c r="J6" s="357"/>
      <c r="K6" s="437"/>
      <c r="L6" s="923"/>
      <c r="M6" s="923"/>
      <c r="N6" s="922"/>
      <c r="O6" s="922"/>
      <c r="P6" s="922"/>
      <c r="Q6" s="922"/>
      <c r="R6" s="922"/>
      <c r="S6" s="922"/>
      <c r="T6" s="923"/>
      <c r="U6" s="923"/>
      <c r="V6" s="923"/>
      <c r="W6" s="355"/>
      <c r="X6" s="370"/>
      <c r="Y6" s="355" t="s">
        <v>246</v>
      </c>
      <c r="Z6" s="355"/>
      <c r="AA6" s="249"/>
      <c r="AB6" s="355"/>
      <c r="AC6" s="371"/>
    </row>
    <row r="7" spans="1:29" ht="24.95" customHeight="1">
      <c r="A7" s="366" t="s">
        <v>237</v>
      </c>
      <c r="B7" s="298"/>
      <c r="C7" s="372" t="s">
        <v>238</v>
      </c>
      <c r="D7" s="355"/>
      <c r="E7" s="355"/>
      <c r="F7" s="355"/>
      <c r="G7" s="355"/>
      <c r="H7" s="371"/>
      <c r="I7" s="357"/>
      <c r="J7" s="357"/>
      <c r="K7" s="438"/>
      <c r="L7" s="923"/>
      <c r="M7" s="923"/>
      <c r="N7" s="922"/>
      <c r="O7" s="922"/>
      <c r="P7" s="922"/>
      <c r="Q7" s="922"/>
      <c r="R7" s="922"/>
      <c r="S7" s="922"/>
      <c r="T7" s="923"/>
      <c r="U7" s="923"/>
      <c r="V7" s="923"/>
      <c r="W7" s="355"/>
      <c r="X7" s="370"/>
      <c r="Y7" s="355"/>
      <c r="Z7" s="355"/>
      <c r="AA7" s="355"/>
      <c r="AB7" s="355"/>
      <c r="AC7" s="371"/>
    </row>
    <row r="8" spans="1:29" ht="24.95" customHeight="1">
      <c r="A8" s="366" t="s">
        <v>327</v>
      </c>
      <c r="B8" s="298"/>
      <c r="C8" s="372" t="s">
        <v>215</v>
      </c>
      <c r="D8" s="355"/>
      <c r="E8" s="355"/>
      <c r="F8" s="355"/>
      <c r="G8" s="355"/>
      <c r="H8" s="371"/>
      <c r="I8" s="357"/>
      <c r="J8" s="357"/>
      <c r="K8" s="437"/>
      <c r="L8" s="923"/>
      <c r="M8" s="923"/>
      <c r="N8" s="922"/>
      <c r="O8" s="922"/>
      <c r="P8" s="922"/>
      <c r="Q8" s="922"/>
      <c r="R8" s="922"/>
      <c r="S8" s="922"/>
      <c r="T8" s="923"/>
      <c r="U8" s="923"/>
      <c r="V8" s="923"/>
      <c r="W8" s="355"/>
      <c r="X8" s="370"/>
      <c r="Y8" s="373"/>
      <c r="Z8" s="374" t="s">
        <v>243</v>
      </c>
      <c r="AA8" s="314" t="s">
        <v>244</v>
      </c>
      <c r="AB8" s="374" t="s">
        <v>245</v>
      </c>
      <c r="AC8" s="371"/>
    </row>
    <row r="9" spans="1:29" ht="24.95" customHeight="1">
      <c r="A9" s="366" t="s">
        <v>328</v>
      </c>
      <c r="B9" s="298"/>
      <c r="C9" s="372" t="s">
        <v>216</v>
      </c>
      <c r="D9" s="355"/>
      <c r="E9" s="355"/>
      <c r="F9" s="355"/>
      <c r="G9" s="355"/>
      <c r="H9" s="371"/>
      <c r="I9" s="357"/>
      <c r="J9" s="357"/>
      <c r="K9" s="437"/>
      <c r="L9" s="923"/>
      <c r="M9" s="923"/>
      <c r="N9" s="922"/>
      <c r="O9" s="922"/>
      <c r="P9" s="922"/>
      <c r="Q9" s="922"/>
      <c r="R9" s="922"/>
      <c r="S9" s="922"/>
      <c r="T9" s="923"/>
      <c r="U9" s="923"/>
      <c r="V9" s="923"/>
      <c r="W9" s="355"/>
      <c r="X9" s="375"/>
      <c r="Y9" s="326" t="s">
        <v>248</v>
      </c>
      <c r="Z9" s="298"/>
      <c r="AA9" s="249"/>
      <c r="AB9" s="249"/>
      <c r="AC9" s="371"/>
    </row>
    <row r="10" spans="1:29" ht="25.5" customHeight="1">
      <c r="A10" s="366" t="s">
        <v>217</v>
      </c>
      <c r="B10" s="299">
        <f>AB15</f>
        <v>0</v>
      </c>
      <c r="C10" s="372" t="s">
        <v>240</v>
      </c>
      <c r="D10" s="355"/>
      <c r="E10" s="355"/>
      <c r="F10" s="355"/>
      <c r="G10" s="355"/>
      <c r="H10" s="371"/>
      <c r="I10" s="357"/>
      <c r="J10" s="357"/>
      <c r="K10" s="437"/>
      <c r="L10" s="923"/>
      <c r="M10" s="923"/>
      <c r="N10" s="922"/>
      <c r="O10" s="922"/>
      <c r="P10" s="922"/>
      <c r="Q10" s="922"/>
      <c r="R10" s="922"/>
      <c r="S10" s="922"/>
      <c r="T10" s="923"/>
      <c r="U10" s="923"/>
      <c r="V10" s="923"/>
      <c r="W10" s="355"/>
      <c r="X10" s="375"/>
      <c r="Y10" s="326" t="s">
        <v>249</v>
      </c>
      <c r="Z10" s="298"/>
      <c r="AA10" s="249"/>
      <c r="AB10" s="249"/>
      <c r="AC10" s="371"/>
    </row>
    <row r="11" spans="1:29" ht="24.95" customHeight="1">
      <c r="A11" s="366" t="s">
        <v>218</v>
      </c>
      <c r="B11" s="298"/>
      <c r="C11" s="355"/>
      <c r="D11" s="355"/>
      <c r="E11" s="355"/>
      <c r="F11" s="355"/>
      <c r="G11" s="355"/>
      <c r="H11" s="371"/>
      <c r="I11" s="357"/>
      <c r="J11" s="357"/>
      <c r="K11" s="437"/>
      <c r="L11" s="923"/>
      <c r="M11" s="923"/>
      <c r="N11" s="922"/>
      <c r="O11" s="922"/>
      <c r="P11" s="922"/>
      <c r="Q11" s="922"/>
      <c r="R11" s="922"/>
      <c r="S11" s="922"/>
      <c r="T11" s="923"/>
      <c r="U11" s="923"/>
      <c r="V11" s="923"/>
      <c r="W11" s="355"/>
      <c r="X11" s="375"/>
      <c r="Y11" s="326" t="s">
        <v>250</v>
      </c>
      <c r="Z11" s="298"/>
      <c r="AA11" s="249"/>
      <c r="AB11" s="249"/>
      <c r="AC11" s="371"/>
    </row>
    <row r="12" spans="1:29" ht="24.95" customHeight="1">
      <c r="A12" s="376"/>
      <c r="B12" s="377"/>
      <c r="C12" s="373"/>
      <c r="D12" s="373"/>
      <c r="E12" s="373"/>
      <c r="F12" s="373"/>
      <c r="G12" s="373"/>
      <c r="H12" s="378"/>
      <c r="I12" s="357"/>
      <c r="J12" s="357"/>
      <c r="K12" s="437"/>
      <c r="L12" s="923"/>
      <c r="M12" s="923"/>
      <c r="N12" s="922"/>
      <c r="O12" s="922"/>
      <c r="P12" s="922"/>
      <c r="Q12" s="922"/>
      <c r="R12" s="922"/>
      <c r="S12" s="922"/>
      <c r="T12" s="923"/>
      <c r="U12" s="923"/>
      <c r="V12" s="923"/>
      <c r="W12" s="355"/>
      <c r="X12" s="375"/>
      <c r="Y12" s="326" t="s">
        <v>251</v>
      </c>
      <c r="Z12" s="298"/>
      <c r="AA12" s="249"/>
      <c r="AB12" s="249"/>
      <c r="AC12" s="371"/>
    </row>
    <row r="13" spans="1:29" ht="24.95" customHeight="1">
      <c r="A13" s="209" t="s">
        <v>528</v>
      </c>
      <c r="B13" s="379"/>
      <c r="C13" s="380"/>
      <c r="D13" s="380"/>
      <c r="E13" s="380"/>
      <c r="F13" s="380"/>
      <c r="G13" s="380"/>
      <c r="H13" s="385"/>
      <c r="I13" s="357"/>
      <c r="J13" s="357"/>
      <c r="K13" s="437"/>
      <c r="L13" s="355" t="str">
        <f>VLOOKUP($B$5,Objektabelle!$A$2:$N$9,1,FALSE)</f>
        <v>Volksschule</v>
      </c>
      <c r="M13" s="355">
        <f>VLOOKUP($B$5,Objektabelle!$A$2:$N$9,2,FALSE)</f>
        <v>0.3</v>
      </c>
      <c r="N13" s="355">
        <f>VLOOKUP($B$5,Objektabelle!$A$2:$N$9,3,FALSE)</f>
        <v>0.6</v>
      </c>
      <c r="O13" s="355">
        <f>VLOOKUP($B$5,Objektabelle!$A$2:$N$9,4,FALSE)</f>
        <v>0.15</v>
      </c>
      <c r="P13" s="355">
        <f>VLOOKUP($B$5,Objektabelle!$A$2:$N$9,5,FALSE)</f>
        <v>0.35</v>
      </c>
      <c r="Q13" s="355">
        <f>VLOOKUP($B$5,Objektabelle!$A$2:$N$9,6,FALSE)</f>
        <v>0</v>
      </c>
      <c r="R13" s="355">
        <f>VLOOKUP($B$5,Objektabelle!$A$2:$N$9,7,FALSE)</f>
        <v>0</v>
      </c>
      <c r="S13" s="355">
        <f>VLOOKUP($B$5,Objektabelle!$A$2:$N$9,8,FALSE)</f>
        <v>0</v>
      </c>
      <c r="T13" s="355">
        <f>VLOOKUP($B$5,Objektabelle!$A$2:$N$9,9,FALSE)</f>
        <v>0</v>
      </c>
      <c r="U13" s="355">
        <f>VLOOKUP($B$5,Objektabelle!$A$2:$N$9,10,FALSE)</f>
        <v>0</v>
      </c>
      <c r="V13" s="355">
        <f>VLOOKUP($B$5,Objektabelle!$A$2:$N$9,11,FALSE)</f>
        <v>0</v>
      </c>
      <c r="W13" s="355"/>
      <c r="X13" s="375"/>
      <c r="Y13" s="326" t="s">
        <v>252</v>
      </c>
      <c r="Z13" s="298"/>
      <c r="AA13" s="249"/>
      <c r="AB13" s="249"/>
      <c r="AC13" s="371"/>
    </row>
    <row r="14" spans="1:29" ht="24.95" customHeight="1">
      <c r="A14" s="366" t="s">
        <v>397</v>
      </c>
      <c r="B14" s="300"/>
      <c r="C14" s="381" t="s">
        <v>238</v>
      </c>
      <c r="D14" s="355"/>
      <c r="E14" s="355"/>
      <c r="F14" s="355"/>
      <c r="G14" s="355"/>
      <c r="H14" s="371"/>
      <c r="I14" s="357"/>
      <c r="J14" s="357"/>
      <c r="K14" s="437"/>
      <c r="L14" s="355"/>
      <c r="M14" s="355"/>
      <c r="N14" s="355"/>
      <c r="O14" s="355"/>
      <c r="P14" s="355"/>
      <c r="Q14" s="355"/>
      <c r="R14" s="355"/>
      <c r="S14" s="355"/>
      <c r="T14" s="355"/>
      <c r="U14" s="355"/>
      <c r="V14" s="355"/>
      <c r="W14" s="355"/>
      <c r="X14" s="370"/>
      <c r="Y14" s="355"/>
      <c r="Z14" s="355"/>
      <c r="AA14" s="355"/>
      <c r="AB14" s="355"/>
      <c r="AC14" s="371"/>
    </row>
    <row r="15" spans="1:29" ht="24.95" customHeight="1">
      <c r="A15" s="366" t="s">
        <v>498</v>
      </c>
      <c r="B15" s="300"/>
      <c r="C15" s="355"/>
      <c r="D15" s="410" t="s">
        <v>386</v>
      </c>
      <c r="E15" s="411"/>
      <c r="F15" s="412"/>
      <c r="G15" s="300"/>
      <c r="H15" s="371"/>
      <c r="I15" s="357"/>
      <c r="J15" s="357"/>
      <c r="K15" s="437"/>
      <c r="L15" s="355"/>
      <c r="M15" s="355"/>
      <c r="N15" s="355"/>
      <c r="O15" s="355"/>
      <c r="P15" s="355"/>
      <c r="Q15" s="355"/>
      <c r="R15" s="355"/>
      <c r="S15" s="355"/>
      <c r="T15" s="355"/>
      <c r="U15" s="355"/>
      <c r="V15" s="355"/>
      <c r="W15" s="355"/>
      <c r="X15" s="370"/>
      <c r="Y15" s="355"/>
      <c r="Z15" s="382" t="s">
        <v>247</v>
      </c>
      <c r="AA15" s="355"/>
      <c r="AB15" s="299">
        <f>IF(ISNUMBER(AA9),(AA9*AB9+AA10*AB10+AA11*AB11+AA12*AB12+AA13*AB13)/SUM(AB9:AB13),0)</f>
        <v>0</v>
      </c>
      <c r="AC15" s="371"/>
    </row>
    <row r="16" spans="1:29" ht="24.95" customHeight="1">
      <c r="A16" s="566" t="s">
        <v>499</v>
      </c>
      <c r="B16" s="300"/>
      <c r="C16" s="386" t="s">
        <v>465</v>
      </c>
      <c r="D16" s="23"/>
      <c r="E16" s="656"/>
      <c r="F16" s="656"/>
      <c r="G16" s="658"/>
      <c r="H16" s="371"/>
      <c r="I16" s="357"/>
      <c r="J16" s="357"/>
      <c r="K16" s="437"/>
      <c r="L16" s="355"/>
      <c r="M16" s="355"/>
      <c r="N16" s="355"/>
      <c r="O16" s="355"/>
      <c r="P16" s="355"/>
      <c r="Q16" s="355"/>
      <c r="R16" s="355"/>
      <c r="S16" s="355"/>
      <c r="T16" s="355"/>
      <c r="U16" s="355"/>
      <c r="V16" s="355"/>
      <c r="W16" s="355"/>
      <c r="X16" s="370"/>
      <c r="Y16" s="355"/>
      <c r="Z16" s="657"/>
      <c r="AA16" s="355"/>
      <c r="AB16" s="723"/>
      <c r="AC16" s="371"/>
    </row>
    <row r="17" spans="1:29" ht="24.95" customHeight="1">
      <c r="A17" s="566" t="s">
        <v>500</v>
      </c>
      <c r="B17" s="721" t="str">
        <f>IF(OR(ISNUMBER(B15),ISNUMBER(B16)), SUM(B15,B16),"")</f>
        <v/>
      </c>
      <c r="C17" s="355"/>
      <c r="D17" s="23"/>
      <c r="E17" s="656"/>
      <c r="F17" s="656"/>
      <c r="G17" s="658"/>
      <c r="H17" s="371"/>
      <c r="I17" s="357"/>
      <c r="J17" s="357"/>
      <c r="K17" s="437"/>
      <c r="L17" s="355"/>
      <c r="M17" s="355"/>
      <c r="N17" s="355"/>
      <c r="O17" s="355"/>
      <c r="P17" s="355"/>
      <c r="Q17" s="355"/>
      <c r="R17" s="355"/>
      <c r="S17" s="355"/>
      <c r="T17" s="355"/>
      <c r="U17" s="355"/>
      <c r="V17" s="355"/>
      <c r="W17" s="355"/>
      <c r="X17" s="370"/>
      <c r="Y17" s="355"/>
      <c r="Z17" s="657"/>
      <c r="AA17" s="355"/>
      <c r="AB17" s="723"/>
      <c r="AC17" s="371"/>
    </row>
    <row r="18" spans="1:29" ht="24.95" customHeight="1" thickBot="1">
      <c r="A18" s="376"/>
      <c r="B18" s="381"/>
      <c r="C18" s="381"/>
      <c r="D18" s="355"/>
      <c r="E18" s="355"/>
      <c r="F18" s="355"/>
      <c r="G18" s="355"/>
      <c r="H18" s="371"/>
      <c r="I18" s="357"/>
      <c r="J18" s="357"/>
      <c r="K18" s="437"/>
      <c r="L18" s="355"/>
      <c r="M18" s="355"/>
      <c r="N18" s="355"/>
      <c r="O18" s="355"/>
      <c r="P18" s="355"/>
      <c r="Q18" s="355"/>
      <c r="R18" s="355"/>
      <c r="S18" s="355"/>
      <c r="T18" s="355"/>
      <c r="U18" s="355"/>
      <c r="V18" s="355"/>
      <c r="W18" s="355"/>
      <c r="X18" s="383"/>
      <c r="Y18" s="359"/>
      <c r="Z18" s="359"/>
      <c r="AA18" s="359"/>
      <c r="AB18" s="359"/>
      <c r="AC18" s="384"/>
    </row>
    <row r="19" spans="1:29" ht="24.95" customHeight="1">
      <c r="A19" s="209" t="s">
        <v>373</v>
      </c>
      <c r="B19" s="564"/>
      <c r="C19" s="564"/>
      <c r="D19" s="380"/>
      <c r="E19" s="380"/>
      <c r="F19" s="380"/>
      <c r="G19" s="380"/>
      <c r="H19" s="385"/>
      <c r="I19" s="357"/>
      <c r="J19" s="357"/>
      <c r="K19" s="437"/>
      <c r="L19" s="355"/>
      <c r="M19" s="355"/>
      <c r="N19" s="355"/>
      <c r="O19" s="355"/>
      <c r="P19" s="355"/>
      <c r="Q19" s="355"/>
      <c r="R19" s="355"/>
      <c r="S19" s="355"/>
      <c r="T19" s="355"/>
      <c r="U19" s="355"/>
      <c r="V19" s="355"/>
      <c r="W19" s="355"/>
      <c r="X19" s="355"/>
      <c r="Y19" s="355"/>
      <c r="Z19" s="355"/>
      <c r="AA19" s="355"/>
      <c r="AB19" s="355"/>
      <c r="AC19" s="355"/>
    </row>
    <row r="20" spans="1:29" ht="24.95" customHeight="1">
      <c r="A20" s="565"/>
      <c r="B20" s="911" t="s">
        <v>374</v>
      </c>
      <c r="C20" s="912"/>
      <c r="D20" s="913"/>
      <c r="E20" s="914"/>
      <c r="F20" s="381"/>
      <c r="G20" s="355"/>
      <c r="H20" s="369"/>
      <c r="I20" s="357"/>
      <c r="J20" s="357"/>
      <c r="K20" s="437"/>
      <c r="L20" s="355"/>
      <c r="M20" s="355"/>
      <c r="N20" s="355"/>
      <c r="O20" s="355"/>
      <c r="P20" s="355"/>
      <c r="Q20" s="355"/>
      <c r="R20" s="355"/>
      <c r="S20" s="355"/>
      <c r="T20" s="355"/>
      <c r="U20" s="355"/>
      <c r="V20" s="355"/>
      <c r="W20" s="355"/>
      <c r="X20" s="355"/>
      <c r="Y20" s="355"/>
      <c r="Z20" s="355"/>
      <c r="AA20" s="355"/>
      <c r="AB20" s="355"/>
      <c r="AC20" s="355"/>
    </row>
    <row r="21" spans="1:29" ht="24.95" customHeight="1">
      <c r="A21" s="566" t="s">
        <v>53</v>
      </c>
      <c r="B21" s="915">
        <f>ROUND(IF(COUNTA(B7),0.8*CEILING((M13*B8+O13*B9+Q13*B8+S13*B10+U13*B11)*VLOOKUP(B6,Gemeindetabelle!A2:C111,3),1),CEILING((M13*B8+O13*B9+Q13*B8+S13*B10+U13*B11)*VLOOKUP(B6,Gemeindetabelle!A2:C111,3),1)),0)</f>
        <v>0</v>
      </c>
      <c r="C21" s="915"/>
      <c r="D21" s="386" t="s">
        <v>465</v>
      </c>
      <c r="E21" s="567"/>
      <c r="G21" s="355"/>
      <c r="H21" s="371"/>
      <c r="I21" s="357"/>
      <c r="J21" s="357"/>
      <c r="K21" s="437"/>
      <c r="L21" s="355"/>
      <c r="M21" s="355"/>
      <c r="N21" s="355"/>
      <c r="O21" s="355"/>
      <c r="P21" s="355"/>
      <c r="Q21" s="355"/>
      <c r="R21" s="355"/>
      <c r="S21" s="355"/>
      <c r="T21" s="355"/>
      <c r="U21" s="355"/>
      <c r="V21" s="355"/>
      <c r="W21" s="355"/>
      <c r="X21" s="355"/>
      <c r="Y21" s="355"/>
      <c r="Z21" s="355"/>
      <c r="AA21" s="355"/>
      <c r="AB21" s="355"/>
      <c r="AC21" s="355"/>
    </row>
    <row r="22" spans="1:29" ht="24.95" customHeight="1">
      <c r="A22" s="566" t="s">
        <v>52</v>
      </c>
      <c r="B22" s="915">
        <f>ROUND(IF(COUNTA(B7),0.8*CEILING((N13*B8+P13*B9+R13*B8+T13*B10+V13*B11)*VLOOKUP(B6,Gemeindetabelle!A2:C111,3),1),CEILING((N13*B8+P13*B9+R13*B8+T13*B10+V13*B11)*VLOOKUP(B6,Gemeindetabelle!A2:C111,3),1)),0)</f>
        <v>0</v>
      </c>
      <c r="C22" s="915"/>
      <c r="D22" s="386" t="s">
        <v>465</v>
      </c>
      <c r="E22" s="567"/>
      <c r="G22" s="355"/>
      <c r="H22" s="371"/>
      <c r="I22" s="357"/>
      <c r="J22" s="357"/>
      <c r="K22" s="437"/>
      <c r="L22" s="355"/>
      <c r="M22" s="355"/>
      <c r="N22" s="355"/>
      <c r="O22" s="355"/>
      <c r="P22" s="355"/>
      <c r="Q22" s="355"/>
      <c r="R22" s="355"/>
      <c r="S22" s="355"/>
      <c r="T22" s="355"/>
      <c r="U22" s="355"/>
      <c r="V22" s="355"/>
      <c r="W22" s="355"/>
      <c r="X22" s="355"/>
      <c r="Y22" s="355"/>
      <c r="Z22" s="355"/>
      <c r="AA22" s="355"/>
      <c r="AB22" s="355"/>
      <c r="AC22" s="355"/>
    </row>
    <row r="23" spans="1:29" ht="24.95" customHeight="1">
      <c r="A23" s="566" t="s">
        <v>50</v>
      </c>
      <c r="B23" s="901">
        <f>IF(B14="x",2.5,5)</f>
        <v>5</v>
      </c>
      <c r="C23" s="902"/>
      <c r="D23" s="386"/>
      <c r="E23" s="567"/>
      <c r="G23" s="355"/>
      <c r="H23" s="371"/>
      <c r="I23" s="357"/>
      <c r="J23" s="357"/>
      <c r="K23" s="437"/>
      <c r="L23" s="355"/>
      <c r="M23" s="355"/>
      <c r="N23" s="355"/>
      <c r="O23" s="355"/>
      <c r="P23" s="355"/>
      <c r="Q23" s="355"/>
      <c r="R23" s="355"/>
      <c r="S23" s="355"/>
      <c r="T23" s="355"/>
      <c r="U23" s="355"/>
      <c r="V23" s="355"/>
      <c r="W23" s="355"/>
      <c r="X23" s="355"/>
      <c r="Y23" s="355"/>
      <c r="Z23" s="355"/>
      <c r="AA23" s="355"/>
      <c r="AB23" s="355"/>
      <c r="AC23" s="355"/>
    </row>
    <row r="24" spans="1:29" ht="24.95" customHeight="1">
      <c r="A24" s="566" t="s">
        <v>49</v>
      </c>
      <c r="B24" s="901">
        <f>IF(B14="x",10,20)</f>
        <v>20</v>
      </c>
      <c r="C24" s="902"/>
      <c r="D24" s="386"/>
      <c r="E24" s="567"/>
      <c r="G24" s="355"/>
      <c r="H24" s="371"/>
      <c r="I24" s="357"/>
      <c r="J24" s="357"/>
      <c r="K24" s="437"/>
      <c r="L24" s="355"/>
      <c r="M24" s="355"/>
      <c r="N24" s="355"/>
      <c r="O24" s="355"/>
      <c r="P24" s="355"/>
      <c r="Q24" s="355"/>
      <c r="R24" s="355"/>
      <c r="S24" s="355"/>
      <c r="T24" s="355"/>
      <c r="U24" s="355"/>
      <c r="V24" s="355"/>
      <c r="W24" s="355"/>
      <c r="X24" s="355"/>
      <c r="Y24" s="355"/>
      <c r="Z24" s="355"/>
      <c r="AA24" s="355"/>
      <c r="AB24" s="355"/>
      <c r="AC24" s="355"/>
    </row>
    <row r="25" spans="1:29" ht="24.95" customHeight="1">
      <c r="A25" s="387"/>
      <c r="B25" s="388"/>
      <c r="C25" s="388"/>
      <c r="D25" s="388"/>
      <c r="E25" s="388"/>
      <c r="F25" s="389"/>
      <c r="G25" s="355"/>
      <c r="H25" s="371"/>
      <c r="I25" s="357"/>
      <c r="J25" s="357"/>
      <c r="K25" s="437"/>
      <c r="L25" s="355"/>
      <c r="M25" s="355"/>
      <c r="N25" s="355"/>
      <c r="O25" s="355"/>
      <c r="P25" s="355"/>
      <c r="Q25" s="355"/>
      <c r="R25" s="355"/>
      <c r="S25" s="355"/>
      <c r="T25" s="355"/>
      <c r="U25" s="355"/>
      <c r="V25" s="355"/>
      <c r="W25" s="355"/>
      <c r="X25" s="355"/>
      <c r="Y25" s="355"/>
      <c r="Z25" s="355"/>
      <c r="AA25" s="355"/>
      <c r="AB25" s="355"/>
      <c r="AC25" s="355"/>
    </row>
    <row r="26" spans="1:29" ht="24.95" customHeight="1">
      <c r="A26" s="209" t="s">
        <v>347</v>
      </c>
      <c r="B26" s="303"/>
      <c r="C26" s="301" t="s">
        <v>348</v>
      </c>
      <c r="D26" s="301" t="s">
        <v>20</v>
      </c>
      <c r="E26" s="302"/>
      <c r="F26" s="303"/>
      <c r="G26" s="303"/>
      <c r="H26" s="304"/>
      <c r="I26" s="357"/>
      <c r="J26" s="357"/>
      <c r="K26" s="437"/>
      <c r="L26" s="355"/>
      <c r="M26" s="355"/>
      <c r="N26" s="355"/>
      <c r="O26" s="355"/>
      <c r="P26" s="355"/>
      <c r="Q26" s="355"/>
      <c r="R26" s="355"/>
      <c r="S26" s="355"/>
      <c r="T26" s="355"/>
      <c r="U26" s="355"/>
      <c r="V26" s="355"/>
      <c r="W26" s="355"/>
      <c r="X26" s="355"/>
      <c r="Y26" s="355"/>
      <c r="Z26" s="355"/>
      <c r="AA26" s="355"/>
      <c r="AB26" s="355"/>
      <c r="AC26" s="355"/>
    </row>
    <row r="27" spans="1:29" ht="30.75" customHeight="1">
      <c r="A27" s="916" t="s">
        <v>349</v>
      </c>
      <c r="B27" s="917"/>
      <c r="C27" s="390">
        <v>5</v>
      </c>
      <c r="D27" s="300"/>
      <c r="E27" s="413" t="s">
        <v>351</v>
      </c>
      <c r="F27" s="414" t="str">
        <f>IF(ISNUMBER(G15),ROUNDUP(IF(G15&gt;10,G15/10,1),0),"")</f>
        <v/>
      </c>
      <c r="G27" s="413" t="str">
        <f>IF(F27&lt;=1,"Lademöglichkeit","Lademöglichkeiten")</f>
        <v>Lademöglichkeiten</v>
      </c>
      <c r="H27" s="415" t="s">
        <v>387</v>
      </c>
      <c r="I27" s="357"/>
      <c r="J27" s="391">
        <v>5</v>
      </c>
      <c r="K27" s="437"/>
      <c r="L27" s="355"/>
      <c r="M27" s="355"/>
      <c r="N27" s="355"/>
      <c r="O27" s="355"/>
      <c r="P27" s="355"/>
      <c r="Q27" s="355"/>
      <c r="R27" s="355"/>
      <c r="S27" s="355"/>
      <c r="T27" s="355"/>
      <c r="U27" s="355"/>
      <c r="V27" s="355"/>
      <c r="W27" s="355"/>
      <c r="X27" s="355"/>
      <c r="Y27" s="920" t="s">
        <v>380</v>
      </c>
      <c r="Z27" s="920"/>
      <c r="AA27" s="921"/>
      <c r="AB27" s="355"/>
      <c r="AC27" s="355"/>
    </row>
    <row r="28" spans="1:29" ht="30.75" customHeight="1">
      <c r="A28" s="916" t="s">
        <v>350</v>
      </c>
      <c r="B28" s="917"/>
      <c r="C28" s="392">
        <v>5</v>
      </c>
      <c r="D28" s="300"/>
      <c r="E28" s="394" t="s">
        <v>351</v>
      </c>
      <c r="F28" s="305" t="str">
        <f>IF(ISNUMBER(B17),ROUNDUP(IF(B17&gt;20,B17/20,1),0),"")</f>
        <v/>
      </c>
      <c r="G28" s="413" t="str">
        <f>IF(F28&lt;=1,"Lademöglichkeit","Lademöglichkeiten")</f>
        <v>Lademöglichkeiten</v>
      </c>
      <c r="H28" s="415" t="s">
        <v>388</v>
      </c>
      <c r="I28" s="357"/>
      <c r="J28" s="391">
        <v>5</v>
      </c>
      <c r="K28" s="437"/>
      <c r="L28" s="355"/>
      <c r="M28" s="355"/>
      <c r="N28" s="355"/>
      <c r="O28" s="355"/>
      <c r="P28" s="355"/>
      <c r="Q28" s="355"/>
      <c r="R28" s="355"/>
      <c r="S28" s="355"/>
      <c r="T28" s="355"/>
      <c r="U28" s="355"/>
      <c r="V28" s="355"/>
      <c r="W28" s="355"/>
      <c r="X28" s="355"/>
      <c r="Y28" s="355"/>
      <c r="Z28" s="355"/>
      <c r="AA28" s="355"/>
      <c r="AB28" s="355"/>
      <c r="AC28" s="355"/>
    </row>
    <row r="29" spans="1:29" ht="24.95" customHeight="1">
      <c r="A29" s="918" t="s">
        <v>19</v>
      </c>
      <c r="B29" s="919"/>
      <c r="C29" s="393" t="s">
        <v>255</v>
      </c>
      <c r="D29" s="305" t="str">
        <f>IF(OR(ISNUMBER(D27),ISNUMBER(D28)), SUM(D27,D28),"")</f>
        <v/>
      </c>
      <c r="E29" s="388"/>
      <c r="H29" s="416"/>
      <c r="I29" s="417"/>
      <c r="J29" s="357"/>
      <c r="K29" s="437"/>
      <c r="L29" s="355"/>
      <c r="M29" s="355"/>
      <c r="N29" s="355"/>
      <c r="O29" s="355"/>
      <c r="P29" s="355"/>
      <c r="Q29" s="355"/>
      <c r="R29" s="355"/>
      <c r="S29" s="355"/>
      <c r="T29" s="355"/>
      <c r="U29" s="355"/>
      <c r="V29" s="355"/>
      <c r="W29" s="355"/>
      <c r="X29" s="355"/>
      <c r="Y29" s="355"/>
      <c r="Z29" s="355"/>
      <c r="AA29" s="355"/>
      <c r="AB29" s="355"/>
      <c r="AC29" s="355"/>
    </row>
    <row r="30" spans="1:29" ht="24.95" customHeight="1">
      <c r="A30" s="395"/>
      <c r="B30" s="396"/>
      <c r="C30" s="397"/>
      <c r="D30" s="355"/>
      <c r="E30" s="388"/>
      <c r="F30" s="389"/>
      <c r="G30" s="355"/>
      <c r="H30" s="371"/>
      <c r="I30" s="357"/>
      <c r="J30" s="357"/>
      <c r="K30" s="437"/>
      <c r="L30" s="355"/>
      <c r="M30" s="355"/>
      <c r="N30" s="355"/>
      <c r="O30" s="355"/>
      <c r="P30" s="355"/>
      <c r="Q30" s="355"/>
      <c r="R30" s="355"/>
      <c r="S30" s="355"/>
      <c r="T30" s="355"/>
      <c r="U30" s="355"/>
      <c r="V30" s="355"/>
      <c r="W30" s="355"/>
      <c r="X30" s="355"/>
      <c r="Y30" s="355"/>
      <c r="Z30" s="355"/>
      <c r="AA30" s="355"/>
      <c r="AB30" s="355"/>
      <c r="AC30" s="355"/>
    </row>
    <row r="31" spans="1:29" ht="24.95" customHeight="1">
      <c r="A31" s="209" t="s">
        <v>51</v>
      </c>
      <c r="B31" s="398"/>
      <c r="C31" s="398"/>
      <c r="D31" s="398"/>
      <c r="E31" s="398"/>
      <c r="F31" s="399"/>
      <c r="G31" s="400"/>
      <c r="H31" s="401"/>
      <c r="I31" s="357"/>
      <c r="J31" s="357"/>
      <c r="K31" s="437"/>
      <c r="L31" s="355"/>
      <c r="M31" s="355"/>
      <c r="N31" s="355"/>
      <c r="O31" s="355"/>
      <c r="P31" s="355"/>
      <c r="Q31" s="355"/>
      <c r="R31" s="355"/>
      <c r="S31" s="355"/>
      <c r="T31" s="355"/>
      <c r="U31" s="355"/>
      <c r="V31" s="355"/>
      <c r="W31" s="355"/>
      <c r="X31" s="355"/>
      <c r="Y31" s="355"/>
      <c r="Z31" s="355"/>
      <c r="AA31" s="355"/>
      <c r="AB31" s="355"/>
      <c r="AC31" s="355"/>
    </row>
    <row r="32" spans="1:29" ht="24.95" customHeight="1">
      <c r="A32" s="903" t="s">
        <v>560</v>
      </c>
      <c r="B32" s="904"/>
      <c r="C32" s="904"/>
      <c r="D32" s="458" t="str">
        <f>IF(ISNUMBER(B17),IF(B17&lt;B21,0,IF(B17&gt;B22,20,B23+(B24-B23)/(B22-B21)*(B17-B21))),"")</f>
        <v/>
      </c>
      <c r="E32" s="457"/>
      <c r="F32" s="457"/>
      <c r="G32" s="457"/>
      <c r="H32" s="371"/>
      <c r="I32" s="357"/>
      <c r="J32" s="357"/>
      <c r="K32" s="439"/>
      <c r="L32" s="355"/>
      <c r="M32" s="355"/>
      <c r="N32" s="355"/>
      <c r="O32" s="355"/>
      <c r="P32" s="355"/>
      <c r="Q32" s="355"/>
      <c r="R32" s="355"/>
      <c r="S32" s="355"/>
      <c r="T32" s="355"/>
      <c r="U32" s="355"/>
      <c r="V32" s="355"/>
      <c r="W32" s="355"/>
      <c r="X32" s="355"/>
      <c r="Y32" s="355"/>
      <c r="Z32" s="355"/>
      <c r="AA32" s="355"/>
      <c r="AB32" s="355"/>
      <c r="AC32" s="355"/>
    </row>
    <row r="33" spans="1:29" ht="24.95" customHeight="1" thickBot="1">
      <c r="A33" s="905" t="s">
        <v>561</v>
      </c>
      <c r="B33" s="906"/>
      <c r="C33" s="907"/>
      <c r="D33" s="208">
        <f>SUM(D29,D32)</f>
        <v>0</v>
      </c>
      <c r="E33" s="402"/>
      <c r="F33" s="359"/>
      <c r="G33" s="359"/>
      <c r="H33" s="384"/>
      <c r="I33" s="355"/>
      <c r="J33" s="355"/>
      <c r="K33" s="439"/>
      <c r="L33" s="355"/>
      <c r="M33" s="355"/>
      <c r="N33" s="355"/>
      <c r="O33" s="355"/>
      <c r="P33" s="355"/>
      <c r="Q33" s="355"/>
      <c r="R33" s="355"/>
      <c r="S33" s="355"/>
      <c r="T33" s="355"/>
      <c r="U33" s="355"/>
      <c r="V33" s="355"/>
      <c r="W33" s="355"/>
      <c r="X33" s="355"/>
      <c r="Y33" s="355"/>
      <c r="Z33" s="355"/>
      <c r="AA33" s="355"/>
      <c r="AB33" s="355"/>
      <c r="AC33" s="355"/>
    </row>
    <row r="34" spans="1:29" ht="24.95" customHeight="1">
      <c r="A34" s="355"/>
      <c r="B34" s="355"/>
      <c r="C34" s="355"/>
      <c r="D34" s="355"/>
      <c r="E34" s="355"/>
      <c r="F34" s="355"/>
      <c r="G34" s="355"/>
      <c r="H34" s="364"/>
      <c r="I34" s="355"/>
      <c r="J34" s="355"/>
      <c r="L34" s="355"/>
      <c r="M34" s="355"/>
      <c r="N34" s="355"/>
      <c r="O34" s="355"/>
      <c r="P34" s="355"/>
      <c r="Q34" s="355"/>
      <c r="R34" s="355"/>
      <c r="S34" s="355"/>
      <c r="T34" s="355"/>
      <c r="U34" s="355"/>
      <c r="V34" s="355"/>
      <c r="W34" s="355"/>
      <c r="X34" s="355"/>
      <c r="Y34" s="355"/>
      <c r="Z34" s="355"/>
      <c r="AA34" s="355"/>
      <c r="AB34" s="355"/>
      <c r="AC34" s="355"/>
    </row>
    <row r="35" spans="1:29" ht="24.95" customHeight="1">
      <c r="A35" s="355"/>
      <c r="B35" s="355"/>
      <c r="C35" s="355"/>
      <c r="D35" s="355"/>
      <c r="E35" s="355"/>
      <c r="F35" s="355"/>
      <c r="G35" s="355"/>
      <c r="H35" s="355"/>
      <c r="I35" s="355"/>
      <c r="J35" s="355"/>
      <c r="L35" s="355"/>
      <c r="M35" s="355"/>
      <c r="N35" s="355"/>
      <c r="O35" s="355"/>
      <c r="P35" s="355"/>
      <c r="Q35" s="355"/>
      <c r="R35" s="355"/>
      <c r="S35" s="355"/>
      <c r="T35" s="355"/>
      <c r="U35" s="355"/>
      <c r="V35" s="355"/>
      <c r="W35" s="235">
        <v>0</v>
      </c>
      <c r="X35" s="355"/>
      <c r="Y35" s="355"/>
      <c r="Z35" s="355"/>
      <c r="AA35" s="355"/>
      <c r="AB35" s="355"/>
      <c r="AC35" s="355"/>
    </row>
    <row r="36" spans="1:29" ht="24.95" customHeight="1">
      <c r="W36" s="403">
        <v>5</v>
      </c>
    </row>
    <row r="37" spans="1:29" ht="24.95" customHeight="1"/>
    <row r="38" spans="1:29" ht="24.95" customHeight="1"/>
    <row r="39" spans="1:29" ht="9" customHeight="1"/>
    <row r="40" spans="1:29" ht="6" customHeight="1"/>
  </sheetData>
  <sheetProtection algorithmName="SHA-512" hashValue="QsfjnevR7txEg7k26hYfSxUguoCkIHGBKwxD9Eg9WhzRob8HUe8S1OWvFM6sy8nQ/yB3t0CIsSYdrA1h02m3FQ==" saltValue="LRAkj90xoofpe/ZgbNppag==" spinCount="100000" sheet="1" selectLockedCells="1"/>
  <mergeCells count="26">
    <mergeCell ref="Y27:AA27"/>
    <mergeCell ref="L3:L12"/>
    <mergeCell ref="U3:U12"/>
    <mergeCell ref="V3:V12"/>
    <mergeCell ref="M3:M12"/>
    <mergeCell ref="N3:N12"/>
    <mergeCell ref="O3:O12"/>
    <mergeCell ref="P3:P12"/>
    <mergeCell ref="Q3:Q12"/>
    <mergeCell ref="T3:T12"/>
    <mergeCell ref="S3:S12"/>
    <mergeCell ref="R3:R12"/>
    <mergeCell ref="B23:C23"/>
    <mergeCell ref="B24:C24"/>
    <mergeCell ref="A32:C32"/>
    <mergeCell ref="A33:C33"/>
    <mergeCell ref="B4:D4"/>
    <mergeCell ref="B5:D5"/>
    <mergeCell ref="B6:D6"/>
    <mergeCell ref="B20:C20"/>
    <mergeCell ref="D20:E20"/>
    <mergeCell ref="B21:C21"/>
    <mergeCell ref="B22:C22"/>
    <mergeCell ref="A27:B27"/>
    <mergeCell ref="A28:B28"/>
    <mergeCell ref="A29:B29"/>
  </mergeCells>
  <dataValidations count="1">
    <dataValidation type="list" allowBlank="1" showInputMessage="1" showErrorMessage="1" sqref="D27:D28" xr:uid="{00000000-0002-0000-0400-000000000000}">
      <formula1>"0,5"</formula1>
    </dataValidation>
  </dataValidations>
  <printOptions horizontalCentered="1"/>
  <pageMargins left="0.59055118110236227" right="0.59055118110236227" top="0.59055118110236227" bottom="0.59055118110236227" header="0.31496062992125984" footer="0.31496062992125984"/>
  <pageSetup paperSize="9" scale="36" orientation="landscape" r:id="rId1"/>
  <ignoredErrors>
    <ignoredError sqref="C22 C21" evalError="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Objektabelle!$A$2:$A$9</xm:f>
          </x14:formula1>
          <xm:sqref>B5:D5</xm:sqref>
        </x14:dataValidation>
        <x14:dataValidation type="list" allowBlank="1" showInputMessage="1" showErrorMessage="1" xr:uid="{00000000-0002-0000-0400-000002000000}">
          <x14:formula1>
            <xm:f>Gemeindetabelle!$A$2:$A$111</xm:f>
          </x14:formula1>
          <xm:sqref>B6:D6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O9"/>
  <sheetViews>
    <sheetView zoomScale="115" zoomScaleNormal="115" workbookViewId="0">
      <selection activeCell="E15" sqref="E15"/>
    </sheetView>
  </sheetViews>
  <sheetFormatPr baseColWidth="10" defaultColWidth="11.42578125" defaultRowHeight="15"/>
  <cols>
    <col min="1" max="1" width="54.85546875" style="9" bestFit="1" customWidth="1"/>
    <col min="2" max="11" width="10.28515625" style="9" customWidth="1"/>
    <col min="12" max="12" width="25" style="9" bestFit="1" customWidth="1"/>
    <col min="13" max="13" width="24.28515625" style="9" bestFit="1" customWidth="1"/>
    <col min="14" max="14" width="10.140625" style="9" bestFit="1" customWidth="1"/>
    <col min="15" max="16384" width="11.42578125" style="9"/>
  </cols>
  <sheetData>
    <row r="1" spans="1:15" ht="144">
      <c r="A1" s="7" t="s">
        <v>213</v>
      </c>
      <c r="B1" s="8" t="s">
        <v>73</v>
      </c>
      <c r="C1" s="8" t="s">
        <v>72</v>
      </c>
      <c r="D1" s="8" t="s">
        <v>71</v>
      </c>
      <c r="E1" s="8" t="s">
        <v>70</v>
      </c>
      <c r="F1" s="8" t="s">
        <v>207</v>
      </c>
      <c r="G1" s="8" t="s">
        <v>208</v>
      </c>
      <c r="H1" s="8" t="s">
        <v>209</v>
      </c>
      <c r="I1" s="8" t="s">
        <v>210</v>
      </c>
      <c r="J1" s="8" t="s">
        <v>219</v>
      </c>
      <c r="K1" s="8" t="s">
        <v>220</v>
      </c>
      <c r="L1" s="8" t="s">
        <v>69</v>
      </c>
      <c r="M1" s="8" t="s">
        <v>68</v>
      </c>
      <c r="N1" s="8" t="s">
        <v>67</v>
      </c>
    </row>
    <row r="2" spans="1:15">
      <c r="A2" s="10" t="s">
        <v>66</v>
      </c>
      <c r="B2" s="22">
        <v>0.1</v>
      </c>
      <c r="C2" s="22">
        <v>0.4</v>
      </c>
      <c r="D2" s="22">
        <v>0</v>
      </c>
      <c r="E2" s="22">
        <v>0</v>
      </c>
      <c r="F2" s="22">
        <v>0.05</v>
      </c>
      <c r="G2" s="22">
        <v>0.2</v>
      </c>
      <c r="H2" s="22">
        <v>0</v>
      </c>
      <c r="I2" s="22">
        <v>0</v>
      </c>
      <c r="J2" s="22">
        <v>0</v>
      </c>
      <c r="K2" s="22">
        <v>0</v>
      </c>
      <c r="L2" s="10" t="s">
        <v>54</v>
      </c>
      <c r="M2" s="10"/>
      <c r="N2" s="10"/>
    </row>
    <row r="3" spans="1:15">
      <c r="A3" s="10" t="s">
        <v>57</v>
      </c>
      <c r="B3" s="22">
        <v>0.3</v>
      </c>
      <c r="C3" s="22">
        <v>0.9</v>
      </c>
      <c r="D3" s="22">
        <v>0.1</v>
      </c>
      <c r="E3" s="22">
        <v>0.2</v>
      </c>
      <c r="F3" s="22">
        <v>0</v>
      </c>
      <c r="G3" s="22">
        <v>0</v>
      </c>
      <c r="H3" s="22">
        <v>0</v>
      </c>
      <c r="I3" s="22">
        <v>0</v>
      </c>
      <c r="J3" s="22">
        <v>0</v>
      </c>
      <c r="K3" s="22">
        <v>0</v>
      </c>
      <c r="L3" s="10" t="s">
        <v>54</v>
      </c>
      <c r="M3" s="10" t="s">
        <v>63</v>
      </c>
      <c r="N3" s="10"/>
    </row>
    <row r="4" spans="1:15">
      <c r="A4" s="10" t="s">
        <v>65</v>
      </c>
      <c r="B4" s="22">
        <v>0.3</v>
      </c>
      <c r="C4" s="22">
        <v>0.6</v>
      </c>
      <c r="D4" s="22">
        <v>0.15</v>
      </c>
      <c r="E4" s="22">
        <v>0.35</v>
      </c>
      <c r="F4" s="22">
        <v>0</v>
      </c>
      <c r="G4" s="22">
        <v>0</v>
      </c>
      <c r="H4" s="22">
        <v>0</v>
      </c>
      <c r="I4" s="22">
        <v>0</v>
      </c>
      <c r="J4" s="22">
        <v>0</v>
      </c>
      <c r="K4" s="22">
        <v>0</v>
      </c>
      <c r="L4" s="10" t="s">
        <v>54</v>
      </c>
      <c r="M4" s="10" t="s">
        <v>63</v>
      </c>
      <c r="N4" s="10"/>
    </row>
    <row r="5" spans="1:15">
      <c r="A5" s="10" t="s">
        <v>64</v>
      </c>
      <c r="B5" s="22">
        <v>0.3</v>
      </c>
      <c r="C5" s="22">
        <v>0.6</v>
      </c>
      <c r="D5" s="22">
        <v>0.3</v>
      </c>
      <c r="E5" s="22">
        <v>0.9</v>
      </c>
      <c r="F5" s="22">
        <v>0</v>
      </c>
      <c r="G5" s="22">
        <v>0</v>
      </c>
      <c r="H5" s="22">
        <v>0</v>
      </c>
      <c r="I5" s="22">
        <v>0</v>
      </c>
      <c r="J5" s="22">
        <v>0</v>
      </c>
      <c r="K5" s="22">
        <v>0</v>
      </c>
      <c r="L5" s="10" t="s">
        <v>54</v>
      </c>
      <c r="M5" s="10" t="s">
        <v>63</v>
      </c>
      <c r="N5" s="10"/>
    </row>
    <row r="6" spans="1:15">
      <c r="A6" s="10" t="s">
        <v>62</v>
      </c>
      <c r="B6" s="22">
        <v>0.1</v>
      </c>
      <c r="C6" s="22">
        <v>0.4</v>
      </c>
      <c r="D6" s="22">
        <v>0</v>
      </c>
      <c r="E6" s="22">
        <v>0</v>
      </c>
      <c r="F6" s="22">
        <v>0</v>
      </c>
      <c r="G6" s="22">
        <v>0</v>
      </c>
      <c r="H6" s="22">
        <v>0</v>
      </c>
      <c r="I6" s="22">
        <v>0</v>
      </c>
      <c r="J6" s="22">
        <v>2.5000000000000001E-2</v>
      </c>
      <c r="K6" s="22">
        <v>0.1</v>
      </c>
      <c r="L6" s="10" t="s">
        <v>54</v>
      </c>
      <c r="M6" s="10"/>
      <c r="N6" s="10" t="s">
        <v>61</v>
      </c>
    </row>
    <row r="7" spans="1:15">
      <c r="A7" s="10" t="s">
        <v>221</v>
      </c>
      <c r="B7" s="22">
        <v>0.1</v>
      </c>
      <c r="C7" s="22">
        <v>0.4</v>
      </c>
      <c r="D7" s="22">
        <v>0</v>
      </c>
      <c r="E7" s="22">
        <v>0</v>
      </c>
      <c r="F7" s="22">
        <v>0</v>
      </c>
      <c r="G7" s="22">
        <v>0</v>
      </c>
      <c r="H7" s="71">
        <v>0.1</v>
      </c>
      <c r="I7" s="71">
        <v>0.4</v>
      </c>
      <c r="J7" s="22">
        <v>0</v>
      </c>
      <c r="K7" s="22">
        <v>0</v>
      </c>
      <c r="L7" s="10" t="s">
        <v>54</v>
      </c>
      <c r="M7" s="70" t="s">
        <v>253</v>
      </c>
      <c r="N7" s="10"/>
      <c r="O7" s="9">
        <v>2</v>
      </c>
    </row>
    <row r="8" spans="1:15">
      <c r="A8" s="10" t="s">
        <v>222</v>
      </c>
      <c r="B8" s="22">
        <v>0.1</v>
      </c>
      <c r="C8" s="22">
        <v>0.4</v>
      </c>
      <c r="D8" s="22">
        <v>0</v>
      </c>
      <c r="E8" s="22">
        <v>0</v>
      </c>
      <c r="F8" s="22">
        <v>0</v>
      </c>
      <c r="G8" s="22">
        <v>0</v>
      </c>
      <c r="H8" s="71">
        <v>0.05</v>
      </c>
      <c r="I8" s="71">
        <v>0.3</v>
      </c>
      <c r="J8" s="22">
        <v>0</v>
      </c>
      <c r="K8" s="22">
        <v>0</v>
      </c>
      <c r="L8" s="10" t="s">
        <v>54</v>
      </c>
      <c r="M8" s="70" t="s">
        <v>253</v>
      </c>
      <c r="N8" s="10"/>
    </row>
    <row r="9" spans="1:15">
      <c r="A9" s="10" t="s">
        <v>223</v>
      </c>
      <c r="B9" s="22">
        <v>0.1</v>
      </c>
      <c r="C9" s="22">
        <v>0.4</v>
      </c>
      <c r="D9" s="22">
        <v>0</v>
      </c>
      <c r="E9" s="22">
        <v>0</v>
      </c>
      <c r="F9" s="22">
        <v>0</v>
      </c>
      <c r="G9" s="22">
        <v>0</v>
      </c>
      <c r="H9" s="71">
        <v>2.5000000000000001E-2</v>
      </c>
      <c r="I9" s="71">
        <v>0.1</v>
      </c>
      <c r="J9" s="22">
        <v>0</v>
      </c>
      <c r="K9" s="22">
        <v>0</v>
      </c>
      <c r="L9" s="10" t="s">
        <v>54</v>
      </c>
      <c r="M9" s="70" t="s">
        <v>253</v>
      </c>
      <c r="N9" s="10"/>
    </row>
  </sheetData>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C111"/>
  <sheetViews>
    <sheetView workbookViewId="0">
      <selection activeCell="C34" sqref="C34"/>
    </sheetView>
  </sheetViews>
  <sheetFormatPr baseColWidth="10" defaultColWidth="11.42578125" defaultRowHeight="15"/>
  <cols>
    <col min="1" max="1" width="25.5703125" style="19" bestFit="1" customWidth="1"/>
    <col min="2" max="2" width="68.85546875" style="19" bestFit="1" customWidth="1"/>
    <col min="3" max="3" width="6" style="20" bestFit="1" customWidth="1"/>
    <col min="4" max="16384" width="11.42578125" style="9"/>
  </cols>
  <sheetData>
    <row r="1" spans="1:3">
      <c r="A1" s="11" t="s">
        <v>189</v>
      </c>
      <c r="B1" s="11" t="s">
        <v>188</v>
      </c>
      <c r="C1" s="12" t="s">
        <v>187</v>
      </c>
    </row>
    <row r="2" spans="1:3">
      <c r="A2" s="13" t="s">
        <v>186</v>
      </c>
      <c r="B2" s="14" t="s">
        <v>83</v>
      </c>
      <c r="C2" s="15">
        <v>0.6</v>
      </c>
    </row>
    <row r="3" spans="1:3">
      <c r="A3" s="13" t="s">
        <v>185</v>
      </c>
      <c r="B3" s="14" t="s">
        <v>75</v>
      </c>
      <c r="C3" s="16">
        <v>1</v>
      </c>
    </row>
    <row r="4" spans="1:3">
      <c r="A4" s="13" t="s">
        <v>184</v>
      </c>
      <c r="B4" s="14" t="s">
        <v>83</v>
      </c>
      <c r="C4" s="15">
        <v>0.6</v>
      </c>
    </row>
    <row r="5" spans="1:3">
      <c r="A5" s="13" t="s">
        <v>183</v>
      </c>
      <c r="B5" s="14" t="s">
        <v>83</v>
      </c>
      <c r="C5" s="15">
        <v>0.6</v>
      </c>
    </row>
    <row r="6" spans="1:3">
      <c r="A6" s="13" t="s">
        <v>182</v>
      </c>
      <c r="B6" s="14" t="s">
        <v>77</v>
      </c>
      <c r="C6" s="15">
        <v>0.2</v>
      </c>
    </row>
    <row r="7" spans="1:3">
      <c r="A7" s="13" t="s">
        <v>181</v>
      </c>
      <c r="B7" s="14" t="s">
        <v>83</v>
      </c>
      <c r="C7" s="15">
        <v>0.6</v>
      </c>
    </row>
    <row r="8" spans="1:3">
      <c r="A8" s="13" t="s">
        <v>180</v>
      </c>
      <c r="B8" s="14" t="s">
        <v>77</v>
      </c>
      <c r="C8" s="15">
        <v>0.2</v>
      </c>
    </row>
    <row r="9" spans="1:3">
      <c r="A9" s="13" t="s">
        <v>179</v>
      </c>
      <c r="B9" s="14" t="s">
        <v>83</v>
      </c>
      <c r="C9" s="15">
        <v>0.6</v>
      </c>
    </row>
    <row r="10" spans="1:3">
      <c r="A10" s="13" t="s">
        <v>178</v>
      </c>
      <c r="B10" s="14" t="s">
        <v>77</v>
      </c>
      <c r="C10" s="15">
        <v>0.2</v>
      </c>
    </row>
    <row r="11" spans="1:3">
      <c r="A11" s="13" t="s">
        <v>177</v>
      </c>
      <c r="B11" s="14" t="s">
        <v>75</v>
      </c>
      <c r="C11" s="15">
        <v>1</v>
      </c>
    </row>
    <row r="12" spans="1:3">
      <c r="A12" s="13" t="s">
        <v>176</v>
      </c>
      <c r="B12" s="14" t="s">
        <v>75</v>
      </c>
      <c r="C12" s="15">
        <v>1</v>
      </c>
    </row>
    <row r="13" spans="1:3">
      <c r="A13" s="13" t="s">
        <v>175</v>
      </c>
      <c r="B13" s="14" t="s">
        <v>77</v>
      </c>
      <c r="C13" s="15">
        <v>0.2</v>
      </c>
    </row>
    <row r="14" spans="1:3">
      <c r="A14" s="13" t="s">
        <v>174</v>
      </c>
      <c r="B14" s="14" t="s">
        <v>75</v>
      </c>
      <c r="C14" s="15">
        <v>1</v>
      </c>
    </row>
    <row r="15" spans="1:3">
      <c r="A15" s="13" t="s">
        <v>173</v>
      </c>
      <c r="B15" s="14" t="s">
        <v>77</v>
      </c>
      <c r="C15" s="15">
        <v>0.2</v>
      </c>
    </row>
    <row r="16" spans="1:3">
      <c r="A16" s="13" t="s">
        <v>172</v>
      </c>
      <c r="B16" s="14" t="s">
        <v>77</v>
      </c>
      <c r="C16" s="15">
        <v>0.2</v>
      </c>
    </row>
    <row r="17" spans="1:3">
      <c r="A17" s="13" t="s">
        <v>171</v>
      </c>
      <c r="B17" s="14" t="s">
        <v>75</v>
      </c>
      <c r="C17" s="15">
        <v>1</v>
      </c>
    </row>
    <row r="18" spans="1:3">
      <c r="A18" s="13" t="s">
        <v>170</v>
      </c>
      <c r="B18" s="14" t="s">
        <v>77</v>
      </c>
      <c r="C18" s="15">
        <v>0.2</v>
      </c>
    </row>
    <row r="19" spans="1:3">
      <c r="A19" s="13" t="s">
        <v>169</v>
      </c>
      <c r="B19" s="14" t="s">
        <v>83</v>
      </c>
      <c r="C19" s="15">
        <v>0.6</v>
      </c>
    </row>
    <row r="20" spans="1:3">
      <c r="A20" s="13" t="s">
        <v>168</v>
      </c>
      <c r="B20" s="14" t="s">
        <v>77</v>
      </c>
      <c r="C20" s="15">
        <v>0.2</v>
      </c>
    </row>
    <row r="21" spans="1:3">
      <c r="A21" s="13" t="s">
        <v>167</v>
      </c>
      <c r="B21" s="14" t="s">
        <v>83</v>
      </c>
      <c r="C21" s="15">
        <v>0.6</v>
      </c>
    </row>
    <row r="22" spans="1:3">
      <c r="A22" s="13" t="s">
        <v>166</v>
      </c>
      <c r="B22" s="14" t="s">
        <v>83</v>
      </c>
      <c r="C22" s="15">
        <v>0.6</v>
      </c>
    </row>
    <row r="23" spans="1:3">
      <c r="A23" s="13" t="s">
        <v>165</v>
      </c>
      <c r="B23" s="14" t="s">
        <v>75</v>
      </c>
      <c r="C23" s="17">
        <v>1</v>
      </c>
    </row>
    <row r="24" spans="1:3">
      <c r="A24" s="13" t="s">
        <v>164</v>
      </c>
      <c r="B24" s="14" t="s">
        <v>77</v>
      </c>
      <c r="C24" s="15">
        <v>0.2</v>
      </c>
    </row>
    <row r="25" spans="1:3">
      <c r="A25" s="13" t="s">
        <v>163</v>
      </c>
      <c r="B25" s="14" t="s">
        <v>83</v>
      </c>
      <c r="C25" s="15">
        <v>0.6</v>
      </c>
    </row>
    <row r="26" spans="1:3">
      <c r="A26" s="13" t="s">
        <v>162</v>
      </c>
      <c r="B26" s="14" t="s">
        <v>77</v>
      </c>
      <c r="C26" s="15">
        <v>0.2</v>
      </c>
    </row>
    <row r="27" spans="1:3">
      <c r="A27" s="13" t="s">
        <v>161</v>
      </c>
      <c r="B27" s="14" t="s">
        <v>77</v>
      </c>
      <c r="C27" s="15">
        <v>0.2</v>
      </c>
    </row>
    <row r="28" spans="1:3">
      <c r="A28" s="13" t="s">
        <v>160</v>
      </c>
      <c r="B28" s="14" t="s">
        <v>83</v>
      </c>
      <c r="C28" s="15">
        <v>0.6</v>
      </c>
    </row>
    <row r="29" spans="1:3">
      <c r="A29" s="13" t="s">
        <v>159</v>
      </c>
      <c r="B29" s="14" t="s">
        <v>77</v>
      </c>
      <c r="C29" s="15">
        <v>0.2</v>
      </c>
    </row>
    <row r="30" spans="1:3">
      <c r="A30" s="13" t="s">
        <v>158</v>
      </c>
      <c r="B30" s="14" t="s">
        <v>75</v>
      </c>
      <c r="C30" s="15">
        <v>1</v>
      </c>
    </row>
    <row r="31" spans="1:3">
      <c r="A31" s="13" t="s">
        <v>157</v>
      </c>
      <c r="B31" s="14" t="s">
        <v>77</v>
      </c>
      <c r="C31" s="15">
        <v>0.2</v>
      </c>
    </row>
    <row r="32" spans="1:3">
      <c r="A32" s="13" t="s">
        <v>156</v>
      </c>
      <c r="B32" s="14" t="s">
        <v>75</v>
      </c>
      <c r="C32" s="15">
        <v>1</v>
      </c>
    </row>
    <row r="33" spans="1:3">
      <c r="A33" s="13" t="s">
        <v>155</v>
      </c>
      <c r="B33" s="14" t="s">
        <v>77</v>
      </c>
      <c r="C33" s="15">
        <v>0.2</v>
      </c>
    </row>
    <row r="34" spans="1:3">
      <c r="A34" s="13" t="s">
        <v>154</v>
      </c>
      <c r="B34" s="14" t="s">
        <v>77</v>
      </c>
      <c r="C34" s="15">
        <v>0.2</v>
      </c>
    </row>
    <row r="35" spans="1:3">
      <c r="A35" s="13" t="s">
        <v>153</v>
      </c>
      <c r="B35" s="14" t="s">
        <v>77</v>
      </c>
      <c r="C35" s="15">
        <v>0.2</v>
      </c>
    </row>
    <row r="36" spans="1:3">
      <c r="A36" s="13" t="s">
        <v>152</v>
      </c>
      <c r="B36" s="14" t="s">
        <v>77</v>
      </c>
      <c r="C36" s="15">
        <v>0.2</v>
      </c>
    </row>
    <row r="37" spans="1:3">
      <c r="A37" s="13" t="s">
        <v>151</v>
      </c>
      <c r="B37" s="14" t="s">
        <v>77</v>
      </c>
      <c r="C37" s="15">
        <v>0.2</v>
      </c>
    </row>
    <row r="38" spans="1:3">
      <c r="A38" s="13" t="s">
        <v>150</v>
      </c>
      <c r="B38" s="14" t="s">
        <v>75</v>
      </c>
      <c r="C38" s="15">
        <v>1</v>
      </c>
    </row>
    <row r="39" spans="1:3">
      <c r="A39" s="13" t="s">
        <v>149</v>
      </c>
      <c r="B39" s="14" t="s">
        <v>75</v>
      </c>
      <c r="C39" s="18">
        <v>1</v>
      </c>
    </row>
    <row r="40" spans="1:3">
      <c r="A40" s="13" t="s">
        <v>148</v>
      </c>
      <c r="B40" s="14" t="s">
        <v>83</v>
      </c>
      <c r="C40" s="15">
        <v>0.6</v>
      </c>
    </row>
    <row r="41" spans="1:3">
      <c r="A41" s="13" t="s">
        <v>147</v>
      </c>
      <c r="B41" s="14" t="s">
        <v>83</v>
      </c>
      <c r="C41" s="15">
        <v>0.6</v>
      </c>
    </row>
    <row r="42" spans="1:3">
      <c r="A42" s="13" t="s">
        <v>146</v>
      </c>
      <c r="B42" s="14" t="s">
        <v>75</v>
      </c>
      <c r="C42" s="17">
        <v>1</v>
      </c>
    </row>
    <row r="43" spans="1:3">
      <c r="A43" s="13" t="s">
        <v>145</v>
      </c>
      <c r="B43" s="14" t="s">
        <v>77</v>
      </c>
      <c r="C43" s="15">
        <v>0.2</v>
      </c>
    </row>
    <row r="44" spans="1:3">
      <c r="A44" s="13" t="s">
        <v>144</v>
      </c>
      <c r="B44" s="14" t="s">
        <v>75</v>
      </c>
      <c r="C44" s="18">
        <v>1</v>
      </c>
    </row>
    <row r="45" spans="1:3">
      <c r="A45" s="13" t="s">
        <v>143</v>
      </c>
      <c r="B45" s="14" t="s">
        <v>83</v>
      </c>
      <c r="C45" s="15">
        <v>0.6</v>
      </c>
    </row>
    <row r="46" spans="1:3">
      <c r="A46" s="13" t="s">
        <v>142</v>
      </c>
      <c r="B46" s="14" t="s">
        <v>75</v>
      </c>
      <c r="C46" s="17">
        <v>1</v>
      </c>
    </row>
    <row r="47" spans="1:3">
      <c r="A47" s="13" t="s">
        <v>141</v>
      </c>
      <c r="B47" s="14" t="s">
        <v>75</v>
      </c>
      <c r="C47" s="15">
        <v>1</v>
      </c>
    </row>
    <row r="48" spans="1:3">
      <c r="A48" s="13" t="s">
        <v>140</v>
      </c>
      <c r="B48" s="14" t="s">
        <v>77</v>
      </c>
      <c r="C48" s="15">
        <v>0.2</v>
      </c>
    </row>
    <row r="49" spans="1:3">
      <c r="A49" s="13" t="s">
        <v>139</v>
      </c>
      <c r="B49" s="14" t="s">
        <v>75</v>
      </c>
      <c r="C49" s="15">
        <v>1</v>
      </c>
    </row>
    <row r="50" spans="1:3">
      <c r="A50" s="13" t="s">
        <v>138</v>
      </c>
      <c r="B50" s="14" t="s">
        <v>75</v>
      </c>
      <c r="C50" s="18">
        <v>1</v>
      </c>
    </row>
    <row r="51" spans="1:3">
      <c r="A51" s="13" t="s">
        <v>137</v>
      </c>
      <c r="B51" s="14" t="s">
        <v>83</v>
      </c>
      <c r="C51" s="15">
        <v>0.6</v>
      </c>
    </row>
    <row r="52" spans="1:3">
      <c r="A52" s="13" t="s">
        <v>136</v>
      </c>
      <c r="B52" s="14" t="s">
        <v>75</v>
      </c>
      <c r="C52" s="17">
        <v>1</v>
      </c>
    </row>
    <row r="53" spans="1:3">
      <c r="A53" s="13" t="s">
        <v>135</v>
      </c>
      <c r="B53" s="14" t="s">
        <v>75</v>
      </c>
      <c r="C53" s="18">
        <v>1</v>
      </c>
    </row>
    <row r="54" spans="1:3">
      <c r="A54" s="13" t="s">
        <v>134</v>
      </c>
      <c r="B54" s="14" t="s">
        <v>83</v>
      </c>
      <c r="C54" s="15">
        <v>0.6</v>
      </c>
    </row>
    <row r="55" spans="1:3">
      <c r="A55" s="13" t="s">
        <v>133</v>
      </c>
      <c r="B55" s="14" t="s">
        <v>75</v>
      </c>
      <c r="C55" s="16">
        <v>1</v>
      </c>
    </row>
    <row r="56" spans="1:3">
      <c r="A56" s="13" t="s">
        <v>132</v>
      </c>
      <c r="B56" s="14" t="s">
        <v>83</v>
      </c>
      <c r="C56" s="15">
        <v>0.6</v>
      </c>
    </row>
    <row r="57" spans="1:3">
      <c r="A57" s="13" t="s">
        <v>131</v>
      </c>
      <c r="B57" s="14" t="s">
        <v>83</v>
      </c>
      <c r="C57" s="15">
        <v>0.6</v>
      </c>
    </row>
    <row r="58" spans="1:3">
      <c r="A58" s="13" t="s">
        <v>130</v>
      </c>
      <c r="B58" s="14" t="s">
        <v>83</v>
      </c>
      <c r="C58" s="15">
        <v>0.6</v>
      </c>
    </row>
    <row r="59" spans="1:3">
      <c r="A59" s="13" t="s">
        <v>129</v>
      </c>
      <c r="B59" s="14" t="s">
        <v>77</v>
      </c>
      <c r="C59" s="15">
        <v>0.2</v>
      </c>
    </row>
    <row r="60" spans="1:3">
      <c r="A60" s="13" t="s">
        <v>128</v>
      </c>
      <c r="B60" s="14" t="s">
        <v>75</v>
      </c>
      <c r="C60" s="18">
        <v>1</v>
      </c>
    </row>
    <row r="61" spans="1:3">
      <c r="A61" s="13" t="s">
        <v>127</v>
      </c>
      <c r="B61" s="14" t="s">
        <v>83</v>
      </c>
      <c r="C61" s="15">
        <v>0.6</v>
      </c>
    </row>
    <row r="62" spans="1:3">
      <c r="A62" s="13" t="s">
        <v>126</v>
      </c>
      <c r="B62" s="14" t="s">
        <v>83</v>
      </c>
      <c r="C62" s="15">
        <v>0.6</v>
      </c>
    </row>
    <row r="63" spans="1:3">
      <c r="A63" s="13" t="s">
        <v>125</v>
      </c>
      <c r="B63" s="14" t="s">
        <v>75</v>
      </c>
      <c r="C63" s="17">
        <v>1</v>
      </c>
    </row>
    <row r="64" spans="1:3">
      <c r="A64" s="13" t="s">
        <v>124</v>
      </c>
      <c r="B64" s="14" t="s">
        <v>75</v>
      </c>
      <c r="C64" s="15">
        <v>1</v>
      </c>
    </row>
    <row r="65" spans="1:3">
      <c r="A65" s="13" t="s">
        <v>123</v>
      </c>
      <c r="B65" s="14" t="s">
        <v>75</v>
      </c>
      <c r="C65" s="15">
        <v>1</v>
      </c>
    </row>
    <row r="66" spans="1:3">
      <c r="A66" s="13" t="s">
        <v>122</v>
      </c>
      <c r="B66" s="14" t="s">
        <v>75</v>
      </c>
      <c r="C66" s="15">
        <v>1</v>
      </c>
    </row>
    <row r="67" spans="1:3">
      <c r="A67" s="13" t="s">
        <v>121</v>
      </c>
      <c r="B67" s="14" t="s">
        <v>75</v>
      </c>
      <c r="C67" s="15">
        <v>1</v>
      </c>
    </row>
    <row r="68" spans="1:3">
      <c r="A68" s="13" t="s">
        <v>120</v>
      </c>
      <c r="B68" s="14" t="s">
        <v>75</v>
      </c>
      <c r="C68" s="18">
        <v>1</v>
      </c>
    </row>
    <row r="69" spans="1:3">
      <c r="A69" s="13" t="s">
        <v>119</v>
      </c>
      <c r="B69" s="14" t="s">
        <v>83</v>
      </c>
      <c r="C69" s="15">
        <v>0.6</v>
      </c>
    </row>
    <row r="70" spans="1:3">
      <c r="A70" s="13" t="s">
        <v>118</v>
      </c>
      <c r="B70" s="14" t="s">
        <v>83</v>
      </c>
      <c r="C70" s="15">
        <v>0.6</v>
      </c>
    </row>
    <row r="71" spans="1:3">
      <c r="A71" s="13" t="s">
        <v>117</v>
      </c>
      <c r="B71" s="14" t="s">
        <v>77</v>
      </c>
      <c r="C71" s="15">
        <v>0.2</v>
      </c>
    </row>
    <row r="72" spans="1:3">
      <c r="A72" s="13" t="s">
        <v>116</v>
      </c>
      <c r="B72" s="14" t="s">
        <v>75</v>
      </c>
      <c r="C72" s="15">
        <v>1</v>
      </c>
    </row>
    <row r="73" spans="1:3">
      <c r="A73" s="13" t="s">
        <v>115</v>
      </c>
      <c r="B73" s="14" t="s">
        <v>77</v>
      </c>
      <c r="C73" s="15">
        <v>0.2</v>
      </c>
    </row>
    <row r="74" spans="1:3">
      <c r="A74" s="13" t="s">
        <v>114</v>
      </c>
      <c r="B74" s="14" t="s">
        <v>77</v>
      </c>
      <c r="C74" s="15">
        <v>0.2</v>
      </c>
    </row>
    <row r="75" spans="1:3">
      <c r="A75" s="13" t="s">
        <v>113</v>
      </c>
      <c r="B75" s="14" t="s">
        <v>75</v>
      </c>
      <c r="C75" s="15">
        <v>1</v>
      </c>
    </row>
    <row r="76" spans="1:3">
      <c r="A76" s="13" t="s">
        <v>112</v>
      </c>
      <c r="B76" s="14" t="s">
        <v>77</v>
      </c>
      <c r="C76" s="15">
        <v>0.2</v>
      </c>
    </row>
    <row r="77" spans="1:3">
      <c r="A77" s="13" t="s">
        <v>111</v>
      </c>
      <c r="B77" s="14" t="s">
        <v>75</v>
      </c>
      <c r="C77" s="18">
        <v>1</v>
      </c>
    </row>
    <row r="78" spans="1:3">
      <c r="A78" s="13" t="s">
        <v>110</v>
      </c>
      <c r="B78" s="14" t="s">
        <v>83</v>
      </c>
      <c r="C78" s="15">
        <v>0.6</v>
      </c>
    </row>
    <row r="79" spans="1:3">
      <c r="A79" s="13" t="s">
        <v>109</v>
      </c>
      <c r="B79" s="14" t="s">
        <v>77</v>
      </c>
      <c r="C79" s="15">
        <v>0.2</v>
      </c>
    </row>
    <row r="80" spans="1:3">
      <c r="A80" s="13" t="s">
        <v>108</v>
      </c>
      <c r="B80" s="14" t="s">
        <v>77</v>
      </c>
      <c r="C80" s="15">
        <v>0.2</v>
      </c>
    </row>
    <row r="81" spans="1:3">
      <c r="A81" s="13" t="s">
        <v>107</v>
      </c>
      <c r="B81" s="14" t="s">
        <v>75</v>
      </c>
      <c r="C81" s="15">
        <v>1</v>
      </c>
    </row>
    <row r="82" spans="1:3">
      <c r="A82" s="13" t="s">
        <v>106</v>
      </c>
      <c r="B82" s="14" t="s">
        <v>75</v>
      </c>
      <c r="C82" s="15">
        <v>1</v>
      </c>
    </row>
    <row r="83" spans="1:3">
      <c r="A83" s="13" t="s">
        <v>105</v>
      </c>
      <c r="B83" s="14" t="s">
        <v>75</v>
      </c>
      <c r="C83" s="18">
        <v>1</v>
      </c>
    </row>
    <row r="84" spans="1:3">
      <c r="A84" s="13" t="s">
        <v>104</v>
      </c>
      <c r="B84" s="14" t="s">
        <v>83</v>
      </c>
      <c r="C84" s="15">
        <v>0.6</v>
      </c>
    </row>
    <row r="85" spans="1:3">
      <c r="A85" s="13" t="s">
        <v>103</v>
      </c>
      <c r="B85" s="14" t="s">
        <v>77</v>
      </c>
      <c r="C85" s="15">
        <v>0.2</v>
      </c>
    </row>
    <row r="86" spans="1:3">
      <c r="A86" s="13" t="s">
        <v>102</v>
      </c>
      <c r="B86" s="14" t="s">
        <v>83</v>
      </c>
      <c r="C86" s="15">
        <v>0.6</v>
      </c>
    </row>
    <row r="87" spans="1:3">
      <c r="A87" s="13" t="s">
        <v>101</v>
      </c>
      <c r="B87" s="14" t="s">
        <v>77</v>
      </c>
      <c r="C87" s="15">
        <v>0.2</v>
      </c>
    </row>
    <row r="88" spans="1:3">
      <c r="A88" s="13" t="s">
        <v>100</v>
      </c>
      <c r="B88" s="14" t="s">
        <v>83</v>
      </c>
      <c r="C88" s="15">
        <v>0.6</v>
      </c>
    </row>
    <row r="89" spans="1:3">
      <c r="A89" s="13" t="s">
        <v>99</v>
      </c>
      <c r="B89" s="14" t="s">
        <v>75</v>
      </c>
      <c r="C89" s="17">
        <v>1</v>
      </c>
    </row>
    <row r="90" spans="1:3">
      <c r="A90" s="13" t="s">
        <v>98</v>
      </c>
      <c r="B90" s="14" t="s">
        <v>77</v>
      </c>
      <c r="C90" s="15">
        <v>0.2</v>
      </c>
    </row>
    <row r="91" spans="1:3">
      <c r="A91" s="13" t="s">
        <v>97</v>
      </c>
      <c r="B91" s="14" t="s">
        <v>77</v>
      </c>
      <c r="C91" s="15">
        <v>0.2</v>
      </c>
    </row>
    <row r="92" spans="1:3">
      <c r="A92" s="13" t="s">
        <v>96</v>
      </c>
      <c r="B92" s="14" t="s">
        <v>77</v>
      </c>
      <c r="C92" s="15">
        <v>0.2</v>
      </c>
    </row>
    <row r="93" spans="1:3">
      <c r="A93" s="13" t="s">
        <v>95</v>
      </c>
      <c r="B93" s="14" t="s">
        <v>77</v>
      </c>
      <c r="C93" s="15">
        <v>0.2</v>
      </c>
    </row>
    <row r="94" spans="1:3">
      <c r="A94" s="13" t="s">
        <v>94</v>
      </c>
      <c r="B94" s="14" t="s">
        <v>83</v>
      </c>
      <c r="C94" s="15">
        <v>0.6</v>
      </c>
    </row>
    <row r="95" spans="1:3">
      <c r="A95" s="13" t="s">
        <v>93</v>
      </c>
      <c r="B95" s="14" t="s">
        <v>83</v>
      </c>
      <c r="C95" s="15">
        <v>0.6</v>
      </c>
    </row>
    <row r="96" spans="1:3">
      <c r="A96" s="13" t="s">
        <v>92</v>
      </c>
      <c r="B96" s="14" t="s">
        <v>77</v>
      </c>
      <c r="C96" s="15">
        <v>0.2</v>
      </c>
    </row>
    <row r="97" spans="1:3">
      <c r="A97" s="13" t="s">
        <v>91</v>
      </c>
      <c r="B97" s="14" t="s">
        <v>75</v>
      </c>
      <c r="C97" s="15">
        <v>1</v>
      </c>
    </row>
    <row r="98" spans="1:3">
      <c r="A98" s="13" t="s">
        <v>90</v>
      </c>
      <c r="B98" s="14" t="s">
        <v>75</v>
      </c>
      <c r="C98" s="18">
        <v>1</v>
      </c>
    </row>
    <row r="99" spans="1:3">
      <c r="A99" s="13" t="s">
        <v>89</v>
      </c>
      <c r="B99" s="14" t="s">
        <v>83</v>
      </c>
      <c r="C99" s="15">
        <v>0.6</v>
      </c>
    </row>
    <row r="100" spans="1:3">
      <c r="A100" s="13" t="s">
        <v>88</v>
      </c>
      <c r="B100" s="14" t="s">
        <v>75</v>
      </c>
      <c r="C100" s="17">
        <v>1</v>
      </c>
    </row>
    <row r="101" spans="1:3">
      <c r="A101" s="13" t="s">
        <v>87</v>
      </c>
      <c r="B101" s="14" t="s">
        <v>77</v>
      </c>
      <c r="C101" s="15">
        <v>0.2</v>
      </c>
    </row>
    <row r="102" spans="1:3">
      <c r="A102" s="13" t="s">
        <v>86</v>
      </c>
      <c r="B102" s="14" t="s">
        <v>83</v>
      </c>
      <c r="C102" s="15">
        <v>0.6</v>
      </c>
    </row>
    <row r="103" spans="1:3">
      <c r="A103" s="13" t="s">
        <v>85</v>
      </c>
      <c r="B103" s="14" t="s">
        <v>77</v>
      </c>
      <c r="C103" s="15">
        <v>0.2</v>
      </c>
    </row>
    <row r="104" spans="1:3">
      <c r="A104" s="13" t="s">
        <v>84</v>
      </c>
      <c r="B104" s="14" t="s">
        <v>83</v>
      </c>
      <c r="C104" s="15">
        <v>0.6</v>
      </c>
    </row>
    <row r="105" spans="1:3">
      <c r="A105" s="13" t="s">
        <v>82</v>
      </c>
      <c r="B105" s="14" t="s">
        <v>77</v>
      </c>
      <c r="C105" s="15">
        <v>0.2</v>
      </c>
    </row>
    <row r="106" spans="1:3">
      <c r="A106" s="13" t="s">
        <v>81</v>
      </c>
      <c r="B106" s="14" t="s">
        <v>77</v>
      </c>
      <c r="C106" s="15">
        <v>0.2</v>
      </c>
    </row>
    <row r="107" spans="1:3">
      <c r="A107" s="13" t="s">
        <v>80</v>
      </c>
      <c r="B107" s="14" t="s">
        <v>75</v>
      </c>
      <c r="C107" s="15">
        <v>1</v>
      </c>
    </row>
    <row r="108" spans="1:3">
      <c r="A108" s="13" t="s">
        <v>55</v>
      </c>
      <c r="B108" s="14" t="s">
        <v>75</v>
      </c>
      <c r="C108" s="15">
        <v>1</v>
      </c>
    </row>
    <row r="109" spans="1:3">
      <c r="A109" s="13" t="s">
        <v>79</v>
      </c>
      <c r="B109" s="14" t="s">
        <v>77</v>
      </c>
      <c r="C109" s="15">
        <v>0.2</v>
      </c>
    </row>
    <row r="110" spans="1:3">
      <c r="A110" s="13" t="s">
        <v>78</v>
      </c>
      <c r="B110" s="14" t="s">
        <v>77</v>
      </c>
      <c r="C110" s="15">
        <v>0.2</v>
      </c>
    </row>
    <row r="111" spans="1:3">
      <c r="A111" s="13" t="s">
        <v>76</v>
      </c>
      <c r="B111" s="14" t="s">
        <v>75</v>
      </c>
      <c r="C111" s="15">
        <v>1</v>
      </c>
    </row>
  </sheetData>
  <autoFilter ref="A1:B111" xr:uid="{00000000-0009-0000-0000-000006000000}"/>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0">
    <pageSetUpPr fitToPage="1"/>
  </sheetPr>
  <dimension ref="A1:G24"/>
  <sheetViews>
    <sheetView showGridLines="0" zoomScale="85" zoomScaleNormal="85" workbookViewId="0">
      <selection activeCell="G6" sqref="G6"/>
    </sheetView>
  </sheetViews>
  <sheetFormatPr baseColWidth="10" defaultColWidth="11.42578125" defaultRowHeight="12.75"/>
  <cols>
    <col min="1" max="1" width="37.42578125" style="78" customWidth="1"/>
    <col min="2" max="2" width="87.85546875" style="78" customWidth="1"/>
    <col min="3" max="3" width="11.7109375" style="78" customWidth="1"/>
    <col min="4" max="4" width="10.28515625" style="78" customWidth="1"/>
    <col min="5" max="5" width="16" style="83" customWidth="1"/>
    <col min="6" max="6" width="18.7109375" style="78" hidden="1" customWidth="1"/>
    <col min="7" max="7" width="30.7109375" style="83" customWidth="1"/>
    <col min="8" max="16384" width="11.42578125" style="78"/>
  </cols>
  <sheetData>
    <row r="1" spans="1:7" ht="24.75" customHeight="1">
      <c r="A1" s="820" t="s">
        <v>468</v>
      </c>
      <c r="B1" s="820"/>
      <c r="C1" s="820"/>
      <c r="D1" s="820"/>
      <c r="E1" s="820"/>
    </row>
    <row r="2" spans="1:7" ht="7.5" customHeight="1" thickBot="1">
      <c r="A2" s="79"/>
      <c r="B2" s="79"/>
      <c r="C2" s="79"/>
      <c r="D2" s="79"/>
      <c r="E2" s="80"/>
    </row>
    <row r="3" spans="1:7" s="81" customFormat="1" ht="41.25" customHeight="1" thickBot="1">
      <c r="A3" s="578" t="s">
        <v>18</v>
      </c>
      <c r="B3" s="579" t="s">
        <v>16</v>
      </c>
      <c r="C3" s="931" t="s">
        <v>440</v>
      </c>
      <c r="D3" s="932"/>
      <c r="E3" s="635" t="s">
        <v>20</v>
      </c>
      <c r="G3" s="440" t="s">
        <v>225</v>
      </c>
    </row>
    <row r="4" spans="1:7" ht="39.75" customHeight="1">
      <c r="A4" s="575" t="s">
        <v>322</v>
      </c>
      <c r="B4" s="568" t="s">
        <v>381</v>
      </c>
      <c r="C4" s="929">
        <v>20</v>
      </c>
      <c r="D4" s="930"/>
      <c r="E4" s="634"/>
      <c r="F4" s="232">
        <v>0</v>
      </c>
      <c r="G4" s="460"/>
    </row>
    <row r="5" spans="1:7" ht="80.25" customHeight="1">
      <c r="A5" s="575" t="s">
        <v>323</v>
      </c>
      <c r="B5" s="569" t="s">
        <v>404</v>
      </c>
      <c r="C5" s="929">
        <v>10</v>
      </c>
      <c r="D5" s="930"/>
      <c r="E5" s="506"/>
      <c r="F5" s="232">
        <v>20</v>
      </c>
      <c r="G5" s="460"/>
    </row>
    <row r="6" spans="1:7" ht="80.25" customHeight="1">
      <c r="A6" s="576" t="s">
        <v>439</v>
      </c>
      <c r="B6" s="526" t="s">
        <v>441</v>
      </c>
      <c r="C6" s="933" t="s">
        <v>442</v>
      </c>
      <c r="D6" s="934"/>
      <c r="E6" s="506"/>
      <c r="F6" s="232">
        <v>0</v>
      </c>
      <c r="G6" s="461"/>
    </row>
    <row r="7" spans="1:7" ht="34.5" customHeight="1">
      <c r="A7" s="575" t="s">
        <v>319</v>
      </c>
      <c r="B7" s="418" t="s">
        <v>389</v>
      </c>
      <c r="C7" s="933" t="s">
        <v>400</v>
      </c>
      <c r="D7" s="934"/>
      <c r="E7" s="506"/>
      <c r="F7" s="232">
        <v>10</v>
      </c>
      <c r="G7" s="460"/>
    </row>
    <row r="8" spans="1:7" ht="35.25" customHeight="1" thickBot="1">
      <c r="A8" s="577" t="s">
        <v>438</v>
      </c>
      <c r="B8" s="654" t="s">
        <v>447</v>
      </c>
      <c r="C8" s="935" t="s">
        <v>400</v>
      </c>
      <c r="D8" s="936"/>
      <c r="E8" s="506"/>
      <c r="F8" s="232">
        <v>3</v>
      </c>
      <c r="G8" s="460"/>
    </row>
    <row r="9" spans="1:7" ht="24.95" customHeight="1" thickBot="1">
      <c r="A9" s="924" t="s">
        <v>19</v>
      </c>
      <c r="B9" s="925"/>
      <c r="C9" s="528"/>
      <c r="D9" s="655"/>
      <c r="E9" s="536">
        <f>IF(SUM(E4:F6)&lt;=40,SUM(E4:E7),40)</f>
        <v>0</v>
      </c>
      <c r="F9" s="232">
        <v>10</v>
      </c>
      <c r="G9" s="441"/>
    </row>
    <row r="10" spans="1:7" ht="24.95" customHeight="1">
      <c r="A10" s="926"/>
      <c r="B10" s="926"/>
      <c r="C10" s="261"/>
      <c r="D10" s="261"/>
    </row>
    <row r="11" spans="1:7" ht="84.75" customHeight="1">
      <c r="A11" s="927" t="s">
        <v>405</v>
      </c>
      <c r="B11" s="928"/>
      <c r="D11"/>
      <c r="F11" s="78" t="s">
        <v>610</v>
      </c>
    </row>
    <row r="12" spans="1:7" ht="38.25" customHeight="1">
      <c r="F12" s="78" t="s">
        <v>611</v>
      </c>
    </row>
    <row r="13" spans="1:7" ht="24.95" customHeight="1"/>
    <row r="14" spans="1:7" s="82" customFormat="1" ht="32.25" customHeight="1">
      <c r="A14" s="78"/>
      <c r="B14" s="78"/>
      <c r="C14" s="78"/>
      <c r="D14" s="78"/>
      <c r="E14" s="83"/>
      <c r="F14" s="78"/>
      <c r="G14" s="83"/>
    </row>
    <row r="15" spans="1:7" ht="14.25" customHeight="1"/>
    <row r="16" spans="1:7" ht="15.75">
      <c r="A16" s="820"/>
      <c r="B16" s="820"/>
      <c r="C16" s="820"/>
      <c r="D16" s="820"/>
      <c r="E16" s="432"/>
      <c r="G16" s="78"/>
    </row>
    <row r="17" spans="5:7">
      <c r="E17" s="432"/>
      <c r="G17" s="78"/>
    </row>
    <row r="18" spans="5:7">
      <c r="E18" s="432"/>
      <c r="G18" s="78"/>
    </row>
    <row r="19" spans="5:7">
      <c r="E19" s="432"/>
      <c r="G19" s="78"/>
    </row>
    <row r="20" spans="5:7">
      <c r="E20" s="432"/>
      <c r="G20" s="78"/>
    </row>
    <row r="21" spans="5:7">
      <c r="E21" s="432"/>
      <c r="G21" s="78"/>
    </row>
    <row r="22" spans="5:7">
      <c r="E22" s="432"/>
      <c r="G22" s="78"/>
    </row>
    <row r="23" spans="5:7">
      <c r="E23" s="432"/>
    </row>
    <row r="24" spans="5:7">
      <c r="E24" s="432"/>
    </row>
  </sheetData>
  <sheetProtection algorithmName="SHA-512" hashValue="W1/kUiHLfI/puIdDhpXUQ8KqZLOsbA+KLuHLROlJqPdkjl87kbZNH/75YCoNC+/cjlWLy3sBZtwtj7J8lz+X2g==" saltValue="MD5Bgel5tW1CjRUPBuf+PQ==" spinCount="100000" sheet="1" selectLockedCells="1"/>
  <mergeCells count="11">
    <mergeCell ref="A1:E1"/>
    <mergeCell ref="A9:B9"/>
    <mergeCell ref="A10:B10"/>
    <mergeCell ref="A11:B11"/>
    <mergeCell ref="A16:D16"/>
    <mergeCell ref="C4:D4"/>
    <mergeCell ref="C5:D5"/>
    <mergeCell ref="C3:D3"/>
    <mergeCell ref="C7:D7"/>
    <mergeCell ref="C8:D8"/>
    <mergeCell ref="C6:D6"/>
  </mergeCells>
  <dataValidations count="5">
    <dataValidation type="list" allowBlank="1" showInputMessage="1" showErrorMessage="1" errorTitle="Falscher Wert!" error="Bitte geben Sie die Zahl 0 oder 1 ein." sqref="E7:E8" xr:uid="{00000000-0002-0000-0700-000000000000}">
      <formula1>$F$11:$F$12</formula1>
    </dataValidation>
    <dataValidation type="list" allowBlank="1" showInputMessage="1" showErrorMessage="1" errorTitle="Falscher Wert!" error="Bitte geben Sie die Zahl 0 oder 1 ein." sqref="E4" xr:uid="{00000000-0002-0000-0700-000001000000}">
      <formula1>$F$4:$F$5</formula1>
    </dataValidation>
    <dataValidation type="list" allowBlank="1" showInputMessage="1" showErrorMessage="1" errorTitle="Falscher Wert!" error="Bitte geben Sie die Zahl 0 oder 1 ein." sqref="E6" xr:uid="{00000000-0002-0000-0700-000002000000}">
      <formula1>$F$8:$F$9</formula1>
    </dataValidation>
    <dataValidation type="list" allowBlank="1" showInputMessage="1" showErrorMessage="1" sqref="D19:D20" xr:uid="{00000000-0002-0000-0700-000003000000}">
      <formula1>$E$4:$E$7</formula1>
    </dataValidation>
    <dataValidation type="list" allowBlank="1" showInputMessage="1" showErrorMessage="1" errorTitle="Falscher Wert!" error="Bitte geben Sie die Zahl 0 oder 1 ein." sqref="E5" xr:uid="{00000000-0002-0000-0700-000004000000}">
      <formula1>$F$6:$F$7</formula1>
    </dataValidation>
  </dataValidations>
  <printOptions horizontalCentered="1"/>
  <pageMargins left="0.59055118110236227" right="0.59055118110236227" top="0.59055118110236227" bottom="0.59055118110236227" header="0.31496062992125984" footer="0.31496062992125984"/>
  <pageSetup paperSize="9" scale="7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
  <dimension ref="A1:I24"/>
  <sheetViews>
    <sheetView showGridLines="0" zoomScale="115" zoomScaleNormal="115" workbookViewId="0">
      <selection activeCell="D4" sqref="D4:D6"/>
    </sheetView>
  </sheetViews>
  <sheetFormatPr baseColWidth="10" defaultColWidth="11.5703125" defaultRowHeight="12.75"/>
  <cols>
    <col min="1" max="1" width="26" style="306" customWidth="1"/>
    <col min="2" max="2" width="69.42578125" style="306" customWidth="1"/>
    <col min="3" max="3" width="16.5703125" style="306" customWidth="1"/>
    <col min="4" max="4" width="14.85546875" style="602" customWidth="1"/>
    <col min="5" max="7" width="11.42578125" style="306" hidden="1" customWidth="1"/>
    <col min="8" max="8" width="40.85546875" style="431" customWidth="1"/>
    <col min="9" max="16384" width="11.5703125" style="306"/>
  </cols>
  <sheetData>
    <row r="1" spans="1:9" ht="26.45" customHeight="1">
      <c r="A1" s="937" t="s">
        <v>469</v>
      </c>
      <c r="B1" s="937"/>
      <c r="C1" s="937"/>
      <c r="D1" s="937"/>
      <c r="E1" s="937"/>
      <c r="F1" s="937"/>
      <c r="G1" s="937"/>
      <c r="H1" s="937"/>
      <c r="I1" s="937"/>
    </row>
    <row r="2" spans="1:9" ht="13.5" thickBot="1"/>
    <row r="3" spans="1:9" ht="44.25" customHeight="1" thickBot="1">
      <c r="A3" s="588" t="s">
        <v>18</v>
      </c>
      <c r="B3" s="581" t="s">
        <v>16</v>
      </c>
      <c r="C3" s="574" t="s">
        <v>311</v>
      </c>
      <c r="D3" s="636" t="s">
        <v>20</v>
      </c>
      <c r="H3" s="434" t="s">
        <v>225</v>
      </c>
    </row>
    <row r="4" spans="1:9" ht="25.5">
      <c r="A4" s="940" t="s">
        <v>375</v>
      </c>
      <c r="B4" s="652" t="s">
        <v>401</v>
      </c>
      <c r="C4" s="653">
        <v>6</v>
      </c>
      <c r="D4" s="941"/>
      <c r="E4" s="946">
        <v>0</v>
      </c>
      <c r="F4" s="945">
        <v>3</v>
      </c>
      <c r="G4" s="944">
        <v>6</v>
      </c>
      <c r="H4" s="459"/>
    </row>
    <row r="5" spans="1:9" ht="38.25">
      <c r="A5" s="938"/>
      <c r="B5" s="475" t="s">
        <v>402</v>
      </c>
      <c r="C5" s="308">
        <v>3</v>
      </c>
      <c r="D5" s="942"/>
      <c r="E5" s="946"/>
      <c r="F5" s="945"/>
      <c r="G5" s="944"/>
      <c r="H5" s="459"/>
    </row>
    <row r="6" spans="1:9" ht="26.1" customHeight="1">
      <c r="A6" s="938"/>
      <c r="B6" s="307" t="s">
        <v>352</v>
      </c>
      <c r="C6" s="308">
        <v>0</v>
      </c>
      <c r="D6" s="943"/>
      <c r="E6" s="946"/>
      <c r="F6" s="945"/>
      <c r="G6" s="944"/>
      <c r="H6" s="459"/>
    </row>
    <row r="7" spans="1:9" ht="26.1" customHeight="1">
      <c r="A7" s="938"/>
      <c r="B7" s="507" t="s">
        <v>601</v>
      </c>
      <c r="C7" s="505" t="s">
        <v>353</v>
      </c>
      <c r="D7" s="309"/>
      <c r="H7" s="459"/>
    </row>
    <row r="8" spans="1:9" ht="26.1" customHeight="1">
      <c r="A8" s="938" t="s">
        <v>354</v>
      </c>
      <c r="B8" s="307" t="s">
        <v>557</v>
      </c>
      <c r="C8" s="310">
        <v>3</v>
      </c>
      <c r="D8" s="311"/>
      <c r="E8" s="306">
        <v>0</v>
      </c>
      <c r="F8" s="306">
        <v>3</v>
      </c>
      <c r="H8" s="459"/>
    </row>
    <row r="9" spans="1:9" ht="26.1" customHeight="1">
      <c r="A9" s="938"/>
      <c r="B9" s="507" t="s">
        <v>600</v>
      </c>
      <c r="C9" s="508" t="s">
        <v>355</v>
      </c>
      <c r="D9" s="309"/>
      <c r="H9" s="459"/>
    </row>
    <row r="10" spans="1:9" ht="39" customHeight="1">
      <c r="A10" s="938" t="s">
        <v>598</v>
      </c>
      <c r="B10" s="307" t="s">
        <v>558</v>
      </c>
      <c r="C10" s="308">
        <v>2</v>
      </c>
      <c r="D10" s="311"/>
      <c r="E10" s="306">
        <v>0</v>
      </c>
      <c r="F10" s="306">
        <v>2</v>
      </c>
      <c r="H10" s="459"/>
    </row>
    <row r="11" spans="1:9" ht="26.1" customHeight="1" thickBot="1">
      <c r="A11" s="939"/>
      <c r="B11" s="647" t="s">
        <v>599</v>
      </c>
      <c r="C11" s="505" t="s">
        <v>356</v>
      </c>
      <c r="D11" s="648"/>
      <c r="H11" s="459"/>
    </row>
    <row r="12" spans="1:9" ht="26.1" customHeight="1" thickBot="1">
      <c r="A12" s="649" t="s">
        <v>19</v>
      </c>
      <c r="B12" s="650"/>
      <c r="C12" s="650"/>
      <c r="D12" s="651">
        <f>IF(SUM(D7,D9,D11)&lt;10,SUM(D7,D9,D11),10)</f>
        <v>0</v>
      </c>
      <c r="H12" s="900"/>
    </row>
    <row r="13" spans="1:9">
      <c r="A13" s="312"/>
      <c r="H13" s="900"/>
    </row>
    <row r="14" spans="1:9">
      <c r="H14" s="84"/>
    </row>
    <row r="15" spans="1:9">
      <c r="H15" s="84"/>
    </row>
    <row r="16" spans="1:9">
      <c r="H16" s="84"/>
    </row>
    <row r="17" spans="8:8">
      <c r="H17" s="84"/>
    </row>
    <row r="18" spans="8:8">
      <c r="H18" s="84"/>
    </row>
    <row r="19" spans="8:8">
      <c r="H19" s="84"/>
    </row>
    <row r="20" spans="8:8">
      <c r="H20" s="84"/>
    </row>
    <row r="21" spans="8:8">
      <c r="H21" s="84"/>
    </row>
    <row r="22" spans="8:8">
      <c r="H22" s="84"/>
    </row>
    <row r="23" spans="8:8">
      <c r="H23" s="84"/>
    </row>
    <row r="24" spans="8:8" ht="15">
      <c r="H24" s="435"/>
    </row>
  </sheetData>
  <sheetProtection algorithmName="SHA-512" hashValue="/U7qApBbvdK9HP6Oehagj8F0MGZ4liAVf6E/2mf2bYTjgBDpwcxZk94qEZF0XIPUMBUSyegyUMeqlGVOLwZO3A==" saltValue="hBu0kdp3koCrZLjQNJ2JFw==" spinCount="100000" sheet="1" selectLockedCells="1"/>
  <mergeCells count="9">
    <mergeCell ref="H12:H13"/>
    <mergeCell ref="A1:I1"/>
    <mergeCell ref="A10:A11"/>
    <mergeCell ref="A4:A7"/>
    <mergeCell ref="A8:A9"/>
    <mergeCell ref="D4:D6"/>
    <mergeCell ref="G4:G6"/>
    <mergeCell ref="F4:F6"/>
    <mergeCell ref="E4:E6"/>
  </mergeCells>
  <dataValidations count="3">
    <dataValidation type="list" allowBlank="1" showInputMessage="1" showErrorMessage="1" sqref="D4:D6" xr:uid="{00000000-0002-0000-0800-000000000000}">
      <formula1>$E$4:$G$4</formula1>
    </dataValidation>
    <dataValidation type="list" allowBlank="1" showInputMessage="1" showErrorMessage="1" sqref="D10" xr:uid="{00000000-0002-0000-0800-000001000000}">
      <formula1>$E$10:$F$10</formula1>
    </dataValidation>
    <dataValidation type="list" allowBlank="1" showInputMessage="1" showErrorMessage="1" sqref="D8" xr:uid="{00000000-0002-0000-0800-000002000000}">
      <formula1>$E$8:$F$8</formula1>
    </dataValidation>
  </dataValidations>
  <pageMargins left="0.7" right="0.7" top="0.78740157499999996" bottom="0.78740157499999996"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f30bd56-e01e-4391-9850-ada34396b374" xsi:nil="true"/>
    <lcf76f155ced4ddcb4097134ff3c332f xmlns="a6081b03-2a40-4a72-92f3-e27db004df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22D5A955D597D478B3F535215E7E5D6" ma:contentTypeVersion="15" ma:contentTypeDescription="Ein neues Dokument erstellen." ma:contentTypeScope="" ma:versionID="0d9912d526b2578a11fab8d0df0cf34c">
  <xsd:schema xmlns:xsd="http://www.w3.org/2001/XMLSchema" xmlns:xs="http://www.w3.org/2001/XMLSchema" xmlns:p="http://schemas.microsoft.com/office/2006/metadata/properties" xmlns:ns2="a6081b03-2a40-4a72-92f3-e27db004df69" xmlns:ns3="cf30bd56-e01e-4391-9850-ada34396b374" targetNamespace="http://schemas.microsoft.com/office/2006/metadata/properties" ma:root="true" ma:fieldsID="f13a24090bbaa798579c5b163c9250ae" ns2:_="" ns3:_="">
    <xsd:import namespace="a6081b03-2a40-4a72-92f3-e27db004df69"/>
    <xsd:import namespace="cf30bd56-e01e-4391-9850-ada34396b37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081b03-2a40-4a72-92f3-e27db004df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2231abc8-4556-4484-b6ee-5cd59887ff8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30bd56-e01e-4391-9850-ada34396b37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98b530e-a13c-45a9-be77-cd84a30631c3}" ma:internalName="TaxCatchAll" ma:showField="CatchAllData" ma:web="cf30bd56-e01e-4391-9850-ada34396b37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1643B0-161D-4C16-8014-7E4081419B98}">
  <ds:schemaRefs>
    <ds:schemaRef ds:uri="http://schemas.microsoft.com/sharepoint/v3/contenttype/forms"/>
  </ds:schemaRefs>
</ds:datastoreItem>
</file>

<file path=customXml/itemProps2.xml><?xml version="1.0" encoding="utf-8"?>
<ds:datastoreItem xmlns:ds="http://schemas.openxmlformats.org/officeDocument/2006/customXml" ds:itemID="{C58DF655-FDCB-4A4F-8295-9643DC22A00F}">
  <ds:schemaRefs>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a6081b03-2a40-4a72-92f3-e27db004df69"/>
    <ds:schemaRef ds:uri="http://purl.org/dc/elements/1.1/"/>
    <ds:schemaRef ds:uri="cf30bd56-e01e-4391-9850-ada34396b374"/>
    <ds:schemaRef ds:uri="http://www.w3.org/XML/1998/namespace"/>
    <ds:schemaRef ds:uri="http://purl.org/dc/dcmitype/"/>
  </ds:schemaRefs>
</ds:datastoreItem>
</file>

<file path=customXml/itemProps3.xml><?xml version="1.0" encoding="utf-8"?>
<ds:datastoreItem xmlns:ds="http://schemas.openxmlformats.org/officeDocument/2006/customXml" ds:itemID="{CA44A561-F5E7-45D1-95D4-3C43DC772E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081b03-2a40-4a72-92f3-e27db004df69"/>
    <ds:schemaRef ds:uri="cf30bd56-e01e-4391-9850-ada34396b3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18</vt:i4>
      </vt:variant>
    </vt:vector>
  </HeadingPairs>
  <TitlesOfParts>
    <vt:vector size="18" baseType="lpstr">
      <vt:lpstr>Deckblatt</vt:lpstr>
      <vt:lpstr>Punktevergabe</vt:lpstr>
      <vt:lpstr>A.3</vt:lpstr>
      <vt:lpstr>A.4</vt:lpstr>
      <vt:lpstr>A.5</vt:lpstr>
      <vt:lpstr>Objektabelle</vt:lpstr>
      <vt:lpstr>Gemeindetabelle</vt:lpstr>
      <vt:lpstr>A.6</vt:lpstr>
      <vt:lpstr>A.7</vt:lpstr>
      <vt:lpstr>A.8</vt:lpstr>
      <vt:lpstr>B.1 </vt:lpstr>
      <vt:lpstr>B1 Graphik</vt:lpstr>
      <vt:lpstr>B.2</vt:lpstr>
      <vt:lpstr>B2 Graphik</vt:lpstr>
      <vt:lpstr>B.3</vt:lpstr>
      <vt:lpstr>C.1</vt:lpstr>
      <vt:lpstr>C.2</vt:lpstr>
      <vt:lpstr>D</vt:lpstr>
    </vt:vector>
  </TitlesOfParts>
  <Company>IBO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Rechenknecht</dc:creator>
  <cp:lastModifiedBy>Simon Nussbaumer</cp:lastModifiedBy>
  <cp:lastPrinted>2025-09-16T08:48:28Z</cp:lastPrinted>
  <dcterms:created xsi:type="dcterms:W3CDTF">2005-07-27T13:49:14Z</dcterms:created>
  <dcterms:modified xsi:type="dcterms:W3CDTF">2026-01-19T08:59:55Z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0x010100622D5A955D597D478B3F535215E7E5D6</vt:lpwstr>
  </property>
  <property fmtid="{D5CDD505-2E9C-101B-9397-08002B2CF9AE}" pid="3" name="MediaServiceImageTags">
    <vt:lpwstr/>
  </property>
</Properties>
</file>